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mall Cap Growth Portfolio\"/>
    </mc:Choice>
  </mc:AlternateContent>
  <xr:revisionPtr revIDLastSave="0" documentId="13_ncr:1_{7A183192-4ED6-4161-8D4A-1909CB31F909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Sheet1!$A$2:$AD$61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44" i="1" l="1"/>
  <c r="R44" i="1"/>
  <c r="Q44" i="1"/>
  <c r="U51" i="1"/>
  <c r="U50" i="1"/>
  <c r="U49" i="1"/>
  <c r="U48" i="1"/>
  <c r="U22" i="1"/>
  <c r="R22" i="1"/>
  <c r="Q22" i="1"/>
  <c r="P22" i="1"/>
  <c r="U17" i="1"/>
  <c r="R17" i="1"/>
  <c r="Q17" i="1"/>
  <c r="P17" i="1"/>
  <c r="U16" i="1"/>
  <c r="R16" i="1"/>
  <c r="Q16" i="1"/>
  <c r="P16" i="1"/>
  <c r="R11" i="1"/>
  <c r="Q11" i="1"/>
  <c r="P11" i="1"/>
  <c r="R10" i="1"/>
  <c r="Q10" i="1"/>
  <c r="P10" i="1"/>
  <c r="R51" i="1"/>
  <c r="Q51" i="1"/>
  <c r="R50" i="1"/>
  <c r="R49" i="1"/>
  <c r="Q48" i="1"/>
  <c r="R48" i="1"/>
  <c r="Q50" i="1"/>
  <c r="Q49" i="1"/>
  <c r="U56" i="1"/>
  <c r="R56" i="1"/>
  <c r="Q56" i="1"/>
  <c r="P56" i="1"/>
  <c r="P51" i="1"/>
  <c r="P50" i="1"/>
  <c r="P49" i="1"/>
  <c r="P48" i="1"/>
  <c r="O60" i="1"/>
  <c r="O44" i="1"/>
  <c r="L60" i="1"/>
  <c r="L44" i="1"/>
  <c r="K60" i="1"/>
  <c r="K44" i="1"/>
  <c r="J60" i="1"/>
  <c r="J44" i="1"/>
  <c r="I44" i="1"/>
  <c r="I45" i="1"/>
  <c r="I60" i="1"/>
  <c r="G60" i="1"/>
  <c r="G44" i="1"/>
  <c r="F44" i="1"/>
  <c r="Y117" i="1"/>
  <c r="Y107" i="1"/>
  <c r="Y97" i="1"/>
  <c r="Y87" i="1"/>
  <c r="Y77" i="1"/>
  <c r="M61" i="1" l="1"/>
  <c r="O52" i="1"/>
  <c r="L52" i="1"/>
  <c r="M22" i="1"/>
  <c r="M58" i="1"/>
  <c r="M57" i="1"/>
  <c r="M55" i="1"/>
  <c r="K52" i="1"/>
  <c r="J52" i="1"/>
  <c r="I52" i="1"/>
  <c r="M51" i="1"/>
  <c r="M50" i="1"/>
  <c r="M49" i="1"/>
  <c r="M48" i="1"/>
  <c r="M35" i="1"/>
  <c r="L30" i="1"/>
  <c r="K30" i="1"/>
  <c r="J30" i="1"/>
  <c r="I30" i="1"/>
  <c r="M28" i="1"/>
  <c r="M27" i="1"/>
  <c r="M26" i="1"/>
  <c r="M25" i="1"/>
  <c r="M24" i="1"/>
  <c r="M23" i="1"/>
  <c r="M21" i="1"/>
  <c r="M20" i="1"/>
  <c r="M19" i="1"/>
  <c r="M18" i="1"/>
  <c r="M17" i="1"/>
  <c r="M16" i="1"/>
  <c r="K14" i="1"/>
  <c r="J14" i="1"/>
  <c r="I14" i="1"/>
  <c r="M13" i="1"/>
  <c r="M12" i="1"/>
  <c r="M11" i="1"/>
  <c r="F60" i="1"/>
  <c r="F52" i="1"/>
  <c r="F30" i="1"/>
  <c r="F14" i="1"/>
  <c r="K32" i="1" l="1"/>
  <c r="K38" i="1" s="1"/>
  <c r="J32" i="1"/>
  <c r="J38" i="1" s="1"/>
  <c r="I32" i="1"/>
  <c r="I38" i="1" s="1"/>
  <c r="F32" i="1"/>
  <c r="F38" i="1" s="1"/>
  <c r="M30" i="1"/>
  <c r="M52" i="1"/>
  <c r="M56" i="1"/>
  <c r="K45" i="1" l="1"/>
  <c r="K41" i="1"/>
  <c r="J45" i="1"/>
  <c r="J41" i="1"/>
  <c r="I41" i="1"/>
  <c r="F45" i="1"/>
  <c r="F41" i="1"/>
  <c r="AD112" i="1"/>
  <c r="AD116" i="1" s="1"/>
  <c r="AD102" i="1"/>
  <c r="AB107" i="1" s="1"/>
  <c r="Z102" i="1"/>
  <c r="Z112" i="1"/>
  <c r="X117" i="1" s="1"/>
  <c r="M60" i="1" l="1"/>
  <c r="AB108" i="1"/>
  <c r="AD107" i="1"/>
  <c r="X107" i="1"/>
  <c r="X108" i="1" s="1"/>
  <c r="Z106" i="1"/>
  <c r="Z105" i="1"/>
  <c r="Z104" i="1"/>
  <c r="AD106" i="1"/>
  <c r="AB117" i="1"/>
  <c r="AD104" i="1"/>
  <c r="AD114" i="1"/>
  <c r="AD115" i="1"/>
  <c r="AD105" i="1"/>
  <c r="X118" i="1"/>
  <c r="Z117" i="1"/>
  <c r="Z114" i="1"/>
  <c r="Z115" i="1"/>
  <c r="Z116" i="1"/>
  <c r="R66" i="1"/>
  <c r="S22" i="1"/>
  <c r="S21" i="1"/>
  <c r="S57" i="1"/>
  <c r="S35" i="1"/>
  <c r="S28" i="1"/>
  <c r="S27" i="1"/>
  <c r="S26" i="1"/>
  <c r="S25" i="1"/>
  <c r="S24" i="1"/>
  <c r="S23" i="1"/>
  <c r="S20" i="1"/>
  <c r="S19" i="1"/>
  <c r="S18" i="1"/>
  <c r="S13" i="1"/>
  <c r="S12" i="1"/>
  <c r="S11" i="1"/>
  <c r="M10" i="1" l="1"/>
  <c r="M9" i="1"/>
  <c r="Z107" i="1"/>
  <c r="Z108" i="1" s="1"/>
  <c r="R55" i="1" s="1"/>
  <c r="AD108" i="1"/>
  <c r="R58" i="1" s="1"/>
  <c r="AB118" i="1"/>
  <c r="AD117" i="1"/>
  <c r="AD118" i="1" s="1"/>
  <c r="U58" i="1" s="1"/>
  <c r="Z118" i="1"/>
  <c r="U55" i="1" s="1"/>
  <c r="O30" i="1"/>
  <c r="Q30" i="1"/>
  <c r="P30" i="1"/>
  <c r="S16" i="1"/>
  <c r="R30" i="1"/>
  <c r="S17" i="1"/>
  <c r="L14" i="1" l="1"/>
  <c r="L32" i="1" s="1"/>
  <c r="M14" i="1"/>
  <c r="M32" i="1" s="1"/>
  <c r="R67" i="1"/>
  <c r="S30" i="1"/>
  <c r="M36" i="1" l="1"/>
  <c r="M38" i="1" s="1"/>
  <c r="M41" i="1" s="1"/>
  <c r="R64" i="1"/>
  <c r="L38" i="1" l="1"/>
  <c r="R65" i="1"/>
  <c r="R60" i="1"/>
  <c r="R9" i="1" s="1"/>
  <c r="L41" i="1" l="1"/>
  <c r="R14" i="1"/>
  <c r="R32" i="1" s="1"/>
  <c r="R36" i="1" s="1"/>
  <c r="R68" i="1"/>
  <c r="L45" i="1" l="1"/>
  <c r="M44" i="1"/>
  <c r="M45" i="1" s="1"/>
  <c r="R38" i="1"/>
  <c r="K67" i="1"/>
  <c r="K66" i="1"/>
  <c r="K65" i="1"/>
  <c r="K64" i="1"/>
  <c r="R45" i="1" l="1"/>
  <c r="R41" i="1"/>
  <c r="K68" i="1"/>
  <c r="L67" i="1"/>
  <c r="L65" i="1"/>
  <c r="L66" i="1" l="1"/>
  <c r="U64" i="1" l="1"/>
  <c r="U66" i="1"/>
  <c r="U67" i="1"/>
  <c r="U65" i="1"/>
  <c r="U30" i="1"/>
  <c r="U60" i="1" l="1"/>
  <c r="U9" i="1" s="1"/>
  <c r="U10" i="1" s="1"/>
  <c r="U68" i="1"/>
  <c r="J67" i="1"/>
  <c r="J66" i="1"/>
  <c r="J65" i="1"/>
  <c r="J64" i="1"/>
  <c r="I67" i="1"/>
  <c r="I66" i="1"/>
  <c r="I65" i="1"/>
  <c r="I64" i="1"/>
  <c r="U14" i="1" l="1"/>
  <c r="U32" i="1" s="1"/>
  <c r="U36" i="1" s="1"/>
  <c r="J68" i="1"/>
  <c r="I68" i="1"/>
  <c r="U38" i="1" l="1"/>
  <c r="M66" i="1"/>
  <c r="G52" i="1"/>
  <c r="G53" i="1" l="1"/>
  <c r="M53" i="1"/>
  <c r="U45" i="1"/>
  <c r="AD39" i="1"/>
  <c r="U41" i="1"/>
  <c r="G14" i="1" l="1"/>
  <c r="G30" i="1"/>
  <c r="G32" i="1" l="1"/>
  <c r="G38" i="1" s="1"/>
  <c r="G41" i="1" l="1"/>
  <c r="G45" i="1"/>
  <c r="M67" i="1" l="1"/>
  <c r="L64" i="1" l="1"/>
  <c r="L68" i="1" s="1"/>
  <c r="M64" i="1"/>
  <c r="M65" i="1"/>
  <c r="M68" i="1" l="1"/>
  <c r="Z39" i="1" l="1"/>
  <c r="S48" i="1" l="1"/>
  <c r="Z82" i="1"/>
  <c r="Z86" i="1" s="1"/>
  <c r="Z72" i="1"/>
  <c r="X77" i="1" s="1"/>
  <c r="O66" i="1"/>
  <c r="Q66" i="1"/>
  <c r="Z92" i="1"/>
  <c r="Z94" i="1" s="1"/>
  <c r="AD82" i="1"/>
  <c r="AB87" i="1" s="1"/>
  <c r="AD92" i="1"/>
  <c r="AD95" i="1" s="1"/>
  <c r="AD72" i="1"/>
  <c r="AD74" i="1" s="1"/>
  <c r="S49" i="1"/>
  <c r="S50" i="1"/>
  <c r="S51" i="1"/>
  <c r="P66" i="1"/>
  <c r="AD96" i="1" l="1"/>
  <c r="AD86" i="1"/>
  <c r="AB77" i="1"/>
  <c r="AB78" i="1" s="1"/>
  <c r="Z95" i="1"/>
  <c r="Z74" i="1"/>
  <c r="Z85" i="1"/>
  <c r="Z76" i="1"/>
  <c r="AD94" i="1"/>
  <c r="S66" i="1"/>
  <c r="AD75" i="1"/>
  <c r="S52" i="1"/>
  <c r="U53" i="1" s="1"/>
  <c r="Z77" i="1"/>
  <c r="X78" i="1"/>
  <c r="AB88" i="1"/>
  <c r="AD87" i="1"/>
  <c r="AD76" i="1"/>
  <c r="Z96" i="1"/>
  <c r="X87" i="1"/>
  <c r="AB97" i="1"/>
  <c r="Z84" i="1"/>
  <c r="AD84" i="1"/>
  <c r="AD85" i="1"/>
  <c r="X97" i="1"/>
  <c r="Z75" i="1"/>
  <c r="Z78" i="1" l="1"/>
  <c r="O64" i="1"/>
  <c r="O65" i="1"/>
  <c r="AD77" i="1"/>
  <c r="AD78" i="1" s="1"/>
  <c r="S53" i="1"/>
  <c r="AD88" i="1"/>
  <c r="P58" i="1" s="1"/>
  <c r="Z87" i="1"/>
  <c r="Z88" i="1" s="1"/>
  <c r="P55" i="1" s="1"/>
  <c r="X88" i="1"/>
  <c r="Z97" i="1"/>
  <c r="Z98" i="1" s="1"/>
  <c r="Q55" i="1" s="1"/>
  <c r="X98" i="1"/>
  <c r="AB98" i="1"/>
  <c r="AD97" i="1"/>
  <c r="AD98" i="1" s="1"/>
  <c r="Q58" i="1" s="1"/>
  <c r="P64" i="1" l="1"/>
  <c r="O67" i="1"/>
  <c r="O68" i="1" s="1"/>
  <c r="P67" i="1"/>
  <c r="S58" i="1"/>
  <c r="Q67" i="1"/>
  <c r="Q60" i="1"/>
  <c r="Q9" i="1" s="1"/>
  <c r="S55" i="1"/>
  <c r="Q64" i="1"/>
  <c r="Q14" i="1" l="1"/>
  <c r="Q32" i="1" s="1"/>
  <c r="S67" i="1"/>
  <c r="P65" i="1"/>
  <c r="P68" i="1" s="1"/>
  <c r="P60" i="1"/>
  <c r="S64" i="1"/>
  <c r="S56" i="1"/>
  <c r="Q65" i="1"/>
  <c r="Q36" i="1" l="1"/>
  <c r="Q38" i="1" s="1"/>
  <c r="S60" i="1"/>
  <c r="P9" i="1"/>
  <c r="O14" i="1"/>
  <c r="O32" i="1" s="1"/>
  <c r="S65" i="1"/>
  <c r="S68" i="1" s="1"/>
  <c r="Q68" i="1"/>
  <c r="Q41" i="1" l="1"/>
  <c r="Q45" i="1"/>
  <c r="S9" i="1"/>
  <c r="S10" i="1" l="1"/>
  <c r="S14" i="1" s="1"/>
  <c r="S32" i="1" s="1"/>
  <c r="P14" i="1"/>
  <c r="P32" i="1" s="1"/>
  <c r="O38" i="1"/>
  <c r="O41" i="1" l="1"/>
  <c r="O45" i="1"/>
  <c r="P36" i="1"/>
  <c r="S36" i="1" l="1"/>
  <c r="S38" i="1" s="1"/>
  <c r="P38" i="1"/>
  <c r="P44" i="1" s="1"/>
  <c r="S41" i="1" l="1"/>
  <c r="AB39" i="1"/>
  <c r="P41" i="1"/>
  <c r="S44" i="1" l="1"/>
  <c r="S45" i="1" s="1"/>
  <c r="Z45" i="1" s="1"/>
  <c r="Z46" i="1" s="1"/>
  <c r="P45" i="1"/>
</calcChain>
</file>

<file path=xl/sharedStrings.xml><?xml version="1.0" encoding="utf-8"?>
<sst xmlns="http://schemas.openxmlformats.org/spreadsheetml/2006/main" count="192" uniqueCount="123">
  <si>
    <t>REVENUES:</t>
  </si>
  <si>
    <t>EXPENSES:</t>
  </si>
  <si>
    <t xml:space="preserve">   TOTAL EXPENSES</t>
  </si>
  <si>
    <t>INCOME TAXES</t>
  </si>
  <si>
    <t xml:space="preserve">   Current</t>
  </si>
  <si>
    <t xml:space="preserve">   Deferred</t>
  </si>
  <si>
    <t>PRODUCTION</t>
  </si>
  <si>
    <t>Gross Revenue check (prod * ave price)</t>
  </si>
  <si>
    <t>Forecast</t>
  </si>
  <si>
    <t>Earnings per share</t>
  </si>
  <si>
    <t>Actual</t>
  </si>
  <si>
    <t>Qtr1</t>
  </si>
  <si>
    <t>Qtr2</t>
  </si>
  <si>
    <t>Qtr3</t>
  </si>
  <si>
    <t>Qtr4</t>
  </si>
  <si>
    <t>NOTE: Current First Call Estimated EPS</t>
  </si>
  <si>
    <t>Cashflow per share (before CapEx)</t>
  </si>
  <si>
    <t xml:space="preserve">  NGLs (bbls/d)</t>
  </si>
  <si>
    <t xml:space="preserve">  Oil and natural gas sales</t>
  </si>
  <si>
    <t>&lt; EPS</t>
  </si>
  <si>
    <t xml:space="preserve">  DD&amp;A</t>
  </si>
  <si>
    <t xml:space="preserve">  </t>
  </si>
  <si>
    <t>Year</t>
  </si>
  <si>
    <t>&lt; Year-over-year production growth</t>
  </si>
  <si>
    <t>NET INCOME to common stockholders</t>
  </si>
  <si>
    <t>Hedged Vol</t>
  </si>
  <si>
    <t>Realized oil price</t>
  </si>
  <si>
    <t>Oil Production per day</t>
  </si>
  <si>
    <t>boepd</t>
  </si>
  <si>
    <t>YOY growth</t>
  </si>
  <si>
    <t>2025 EBITDA</t>
  </si>
  <si>
    <t>Per ths forecast</t>
  </si>
  <si>
    <t xml:space="preserve">  Less: Royalties</t>
  </si>
  <si>
    <t xml:space="preserve">  Realized gains (losses) on hedges</t>
  </si>
  <si>
    <t xml:space="preserve">  Unrealized gains (losses) on hedges</t>
  </si>
  <si>
    <t xml:space="preserve">  Transportation</t>
  </si>
  <si>
    <t xml:space="preserve">  G&amp;A expenses</t>
  </si>
  <si>
    <t xml:space="preserve">  Share based payments</t>
  </si>
  <si>
    <t xml:space="preserve">  Exploration and evaluation</t>
  </si>
  <si>
    <t xml:space="preserve">  Transaction costs</t>
  </si>
  <si>
    <t>NET INCOME BEFORE INCOME TAXES</t>
  </si>
  <si>
    <t>Adjusted Operating Cash Flow before CapEx</t>
  </si>
  <si>
    <t>Common Stock at end of each period</t>
  </si>
  <si>
    <t>&lt; First Call's EPS Forecasts</t>
  </si>
  <si>
    <t>&lt; First Call's Revenue Forecasts</t>
  </si>
  <si>
    <t>&lt; Cdn</t>
  </si>
  <si>
    <t xml:space="preserve">  Financing</t>
  </si>
  <si>
    <t xml:space="preserve">  Impairment (Asset write downs)</t>
  </si>
  <si>
    <t xml:space="preserve">  Gain on sale of assets</t>
  </si>
  <si>
    <t xml:space="preserve">  Foreign exchange (gains) and losses - realized</t>
  </si>
  <si>
    <t xml:space="preserve">  Foreign exchange (gains) and losses - unrealized</t>
  </si>
  <si>
    <t xml:space="preserve">  Crude oil (bbls/d)</t>
  </si>
  <si>
    <t xml:space="preserve">  Condensate (bbls/d)</t>
  </si>
  <si>
    <t xml:space="preserve">  Natural gas (mcf/d)</t>
  </si>
  <si>
    <t xml:space="preserve">  Crude oil ($Cdn/bbl)</t>
  </si>
  <si>
    <t xml:space="preserve">  Condensate ($Cdn/bbl)</t>
  </si>
  <si>
    <t xml:space="preserve">  NGLs ($Cdn/bbl)</t>
  </si>
  <si>
    <t xml:space="preserve">  Natural gas ($Cdn/mcf)</t>
  </si>
  <si>
    <t>PRODUCT PRICES  net of cash settlements on hedges</t>
  </si>
  <si>
    <t>In March 2023 sold assets to VRN for $1.7 billion</t>
  </si>
  <si>
    <t>N/A</t>
  </si>
  <si>
    <t>Canadian Dollars</t>
  </si>
  <si>
    <t xml:space="preserve">  Crude oil </t>
  </si>
  <si>
    <t xml:space="preserve">  Condensate</t>
  </si>
  <si>
    <t xml:space="preserve">  NGLs </t>
  </si>
  <si>
    <t xml:space="preserve">  Natural gas </t>
  </si>
  <si>
    <t>Guidance below</t>
  </si>
  <si>
    <t>See 2025 Guidance Below</t>
  </si>
  <si>
    <t>$/Bbl</t>
  </si>
  <si>
    <t>TipRanks Price Target</t>
  </si>
  <si>
    <t>Realized Ngas price</t>
  </si>
  <si>
    <t>&lt; Forecast periods include estimated cash</t>
  </si>
  <si>
    <t>&lt; Realized gains (losses) on hedges</t>
  </si>
  <si>
    <t>&lt; 25%</t>
  </si>
  <si>
    <t>2026 EBITDA</t>
  </si>
  <si>
    <t>$/mcf</t>
  </si>
  <si>
    <t>Revenues include cash  settlements on hedges &gt;&gt;&gt;</t>
  </si>
  <si>
    <t>Q1 2026</t>
  </si>
  <si>
    <t>Q2 2026</t>
  </si>
  <si>
    <t>Q3 2026</t>
  </si>
  <si>
    <t>Q4 2026</t>
  </si>
  <si>
    <t xml:space="preserve">  Operating expenses</t>
  </si>
  <si>
    <t>&lt; US (look below)</t>
  </si>
  <si>
    <t>Canadian Dollars in thousands</t>
  </si>
  <si>
    <t>First Call's Price Target</t>
  </si>
  <si>
    <t>Q1 2026 Prod Mix</t>
  </si>
  <si>
    <t>&lt; Common Stock O/S at end of each Qtr</t>
  </si>
  <si>
    <t>&lt; My WAG</t>
  </si>
  <si>
    <t xml:space="preserve"> 2H 2026 Mix</t>
  </si>
  <si>
    <t>WTI / 0.71</t>
  </si>
  <si>
    <t>&lt; US at 0.71</t>
  </si>
  <si>
    <t>Logan Energy Corp. (LGN.V and LOECF)</t>
  </si>
  <si>
    <t>Net Income and Cash Flow 2023 - 2027 (updated 7/10/2026)</t>
  </si>
  <si>
    <t xml:space="preserve">  Processing and other</t>
  </si>
  <si>
    <t>Revenue by product before hedges</t>
  </si>
  <si>
    <t xml:space="preserve"> &lt; 06.73% NGLs</t>
  </si>
  <si>
    <t xml:space="preserve"> &lt; 64.22% Natural Gas</t>
  </si>
  <si>
    <t>March 10, 2026 closed $66.3 million Simonette Asset Acqistion</t>
  </si>
  <si>
    <t>&lt; Condensate volumes included in oil before 2026</t>
  </si>
  <si>
    <t xml:space="preserve"> &lt; 27.47% Crude Oil</t>
  </si>
  <si>
    <t>&lt; 01.58% Condensate</t>
  </si>
  <si>
    <t>Hedges as of 3/31/2026</t>
  </si>
  <si>
    <t>&lt; See Hedges below less $13/bbl differential</t>
  </si>
  <si>
    <t>&lt; See Hedges below less $0.30/mcf differential</t>
  </si>
  <si>
    <t>&lt; WTI /0.71</t>
  </si>
  <si>
    <t>See Updated Guidance below</t>
  </si>
  <si>
    <t>&lt;  2026  production guidance is 17,500 Boepd (July)</t>
  </si>
  <si>
    <t>&lt; 33.0 to 40.0%</t>
  </si>
  <si>
    <t>&lt; 2.0 to 2.5%%</t>
  </si>
  <si>
    <t>&lt; 6.5 to 6.5%</t>
  </si>
  <si>
    <t>&lt; 58.5% to 51.0%</t>
  </si>
  <si>
    <t>&lt; 2026 CapEx Guidance $240 million (July)</t>
  </si>
  <si>
    <t xml:space="preserve">   settlements on hedges</t>
  </si>
  <si>
    <t>&lt; 8.5%</t>
  </si>
  <si>
    <t>&lt; 0.36/boe</t>
  </si>
  <si>
    <t xml:space="preserve">&lt; $8.45/boe </t>
  </si>
  <si>
    <t>&lt; $2.65/boe</t>
  </si>
  <si>
    <t xml:space="preserve">&lt; $13.50/boe </t>
  </si>
  <si>
    <t xml:space="preserve">  Other expenses</t>
  </si>
  <si>
    <t>&lt; Tax Pools cover all current taxes thru 2027</t>
  </si>
  <si>
    <t>Price Target for LOECF</t>
  </si>
  <si>
    <t xml:space="preserve">Target Price 5 X 2025-2027 annualized  CFPS = </t>
  </si>
  <si>
    <t>2027 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</si>
</sst>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.0%"/>
    <numFmt numFmtId="167" formatCode="_(&quot;$&quot;* #,##0_);_(&quot;$&quot;* \(#,##0\);_(&quot;$&quot;* &quot;-&quot;??_);_(@_)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10"/>
      <color rgb="FFC0000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rgb="FFC00000"/>
      <name val="Arial"/>
      <family val="2"/>
    </font>
    <font>
      <b/>
      <sz val="10"/>
      <color rgb="FFC00000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b/>
      <i/>
      <sz val="12"/>
      <color rgb="FFC00000"/>
      <name val="Arial"/>
      <family val="2"/>
    </font>
    <font>
      <b/>
      <i/>
      <sz val="9"/>
      <color rgb="FFC00000"/>
      <name val="Arial"/>
      <family val="2"/>
    </font>
    <font>
      <sz val="10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99">
    <xf numFmtId="0" fontId="0" fillId="0" borderId="0" xfId="0"/>
    <xf numFmtId="38" fontId="0" fillId="0" borderId="0" xfId="0" applyNumberFormat="1"/>
    <xf numFmtId="0" fontId="0" fillId="2" borderId="0" xfId="0" applyFill="1"/>
    <xf numFmtId="0" fontId="3" fillId="0" borderId="0" xfId="0" applyFont="1"/>
    <xf numFmtId="0" fontId="4" fillId="0" borderId="0" xfId="0" applyFont="1"/>
    <xf numFmtId="0" fontId="0" fillId="0" borderId="1" xfId="0" applyBorder="1"/>
    <xf numFmtId="6" fontId="0" fillId="0" borderId="1" xfId="0" applyNumberFormat="1" applyBorder="1"/>
    <xf numFmtId="38" fontId="0" fillId="0" borderId="1" xfId="0" applyNumberFormat="1" applyBorder="1"/>
    <xf numFmtId="38" fontId="0" fillId="0" borderId="2" xfId="0" applyNumberFormat="1" applyBorder="1"/>
    <xf numFmtId="38" fontId="5" fillId="0" borderId="1" xfId="0" applyNumberFormat="1" applyFont="1" applyBorder="1"/>
    <xf numFmtId="38" fontId="2" fillId="0" borderId="3" xfId="0" applyNumberFormat="1" applyFont="1" applyBorder="1" applyAlignment="1">
      <alignment horizontal="center"/>
    </xf>
    <xf numFmtId="40" fontId="0" fillId="0" borderId="1" xfId="0" applyNumberFormat="1" applyBorder="1"/>
    <xf numFmtId="8" fontId="0" fillId="0" borderId="1" xfId="0" applyNumberFormat="1" applyBorder="1"/>
    <xf numFmtId="8" fontId="0" fillId="2" borderId="5" xfId="0" applyNumberFormat="1" applyFill="1" applyBorder="1"/>
    <xf numFmtId="4" fontId="0" fillId="0" borderId="0" xfId="0" applyNumberFormat="1"/>
    <xf numFmtId="6" fontId="5" fillId="0" borderId="1" xfId="0" applyNumberFormat="1" applyFont="1" applyBorder="1"/>
    <xf numFmtId="38" fontId="5" fillId="0" borderId="7" xfId="0" applyNumberFormat="1" applyFont="1" applyBorder="1"/>
    <xf numFmtId="0" fontId="3" fillId="2" borderId="1" xfId="0" applyFont="1" applyFill="1" applyBorder="1" applyAlignment="1">
      <alignment horizontal="center"/>
    </xf>
    <xf numFmtId="4" fontId="5" fillId="0" borderId="0" xfId="0" applyNumberFormat="1" applyFont="1"/>
    <xf numFmtId="0" fontId="0" fillId="2" borderId="9" xfId="0" applyFill="1" applyBorder="1"/>
    <xf numFmtId="0" fontId="5" fillId="0" borderId="0" xfId="0" applyFont="1"/>
    <xf numFmtId="0" fontId="3" fillId="2" borderId="0" xfId="0" applyFont="1" applyFill="1"/>
    <xf numFmtId="164" fontId="3" fillId="2" borderId="0" xfId="0" applyNumberFormat="1" applyFont="1" applyFill="1"/>
    <xf numFmtId="0" fontId="0" fillId="3" borderId="0" xfId="0" applyFill="1"/>
    <xf numFmtId="0" fontId="3" fillId="3" borderId="0" xfId="0" applyFont="1" applyFill="1" applyAlignment="1">
      <alignment horizontal="center"/>
    </xf>
    <xf numFmtId="6" fontId="0" fillId="3" borderId="0" xfId="0" applyNumberFormat="1" applyFill="1"/>
    <xf numFmtId="38" fontId="0" fillId="3" borderId="0" xfId="0" applyNumberFormat="1" applyFill="1"/>
    <xf numFmtId="38" fontId="0" fillId="3" borderId="4" xfId="0" applyNumberFormat="1" applyFill="1" applyBorder="1"/>
    <xf numFmtId="38" fontId="5" fillId="3" borderId="0" xfId="0" applyNumberFormat="1" applyFont="1" applyFill="1"/>
    <xf numFmtId="6" fontId="5" fillId="3" borderId="0" xfId="0" applyNumberFormat="1" applyFont="1" applyFill="1"/>
    <xf numFmtId="38" fontId="2" fillId="3" borderId="10" xfId="0" applyNumberFormat="1" applyFont="1" applyFill="1" applyBorder="1" applyAlignment="1">
      <alignment horizontal="center"/>
    </xf>
    <xf numFmtId="8" fontId="0" fillId="3" borderId="11" xfId="0" applyNumberFormat="1" applyFill="1" applyBorder="1"/>
    <xf numFmtId="8" fontId="0" fillId="3" borderId="0" xfId="0" applyNumberFormat="1" applyFill="1"/>
    <xf numFmtId="40" fontId="0" fillId="3" borderId="0" xfId="0" applyNumberFormat="1" applyFill="1"/>
    <xf numFmtId="38" fontId="5" fillId="3" borderId="6" xfId="0" applyNumberFormat="1" applyFont="1" applyFill="1" applyBorder="1"/>
    <xf numFmtId="38" fontId="0" fillId="0" borderId="12" xfId="0" applyNumberFormat="1" applyBorder="1"/>
    <xf numFmtId="38" fontId="0" fillId="0" borderId="8" xfId="0" applyNumberFormat="1" applyBorder="1"/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5" fillId="3" borderId="14" xfId="0" applyFont="1" applyFill="1" applyBorder="1"/>
    <xf numFmtId="6" fontId="0" fillId="3" borderId="14" xfId="0" applyNumberFormat="1" applyFill="1" applyBorder="1"/>
    <xf numFmtId="38" fontId="5" fillId="3" borderId="14" xfId="0" applyNumberFormat="1" applyFont="1" applyFill="1" applyBorder="1"/>
    <xf numFmtId="38" fontId="5" fillId="3" borderId="15" xfId="0" applyNumberFormat="1" applyFont="1" applyFill="1" applyBorder="1"/>
    <xf numFmtId="6" fontId="5" fillId="3" borderId="14" xfId="0" applyNumberFormat="1" applyFont="1" applyFill="1" applyBorder="1"/>
    <xf numFmtId="38" fontId="3" fillId="3" borderId="16" xfId="0" applyNumberFormat="1" applyFont="1" applyFill="1" applyBorder="1" applyAlignment="1">
      <alignment horizontal="center"/>
    </xf>
    <xf numFmtId="164" fontId="5" fillId="3" borderId="17" xfId="0" applyNumberFormat="1" applyFont="1" applyFill="1" applyBorder="1"/>
    <xf numFmtId="164" fontId="5" fillId="3" borderId="14" xfId="0" applyNumberFormat="1" applyFont="1" applyFill="1" applyBorder="1"/>
    <xf numFmtId="40" fontId="5" fillId="3" borderId="14" xfId="0" applyNumberFormat="1" applyFont="1" applyFill="1" applyBorder="1"/>
    <xf numFmtId="38" fontId="5" fillId="3" borderId="18" xfId="0" applyNumberFormat="1" applyFont="1" applyFill="1" applyBorder="1"/>
    <xf numFmtId="0" fontId="0" fillId="0" borderId="12" xfId="0" applyBorder="1"/>
    <xf numFmtId="8" fontId="0" fillId="2" borderId="19" xfId="0" applyNumberFormat="1" applyFill="1" applyBorder="1"/>
    <xf numFmtId="40" fontId="0" fillId="0" borderId="12" xfId="0" applyNumberFormat="1" applyBorder="1"/>
    <xf numFmtId="38" fontId="5" fillId="0" borderId="20" xfId="0" applyNumberFormat="1" applyFont="1" applyBorder="1"/>
    <xf numFmtId="6" fontId="0" fillId="0" borderId="12" xfId="0" applyNumberFormat="1" applyBorder="1"/>
    <xf numFmtId="0" fontId="0" fillId="3" borderId="0" xfId="0" applyFill="1" applyAlignment="1">
      <alignment horizontal="center" vertical="center"/>
    </xf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3" fillId="4" borderId="1" xfId="0" applyFont="1" applyFill="1" applyBorder="1" applyAlignment="1">
      <alignment horizontal="center"/>
    </xf>
    <xf numFmtId="165" fontId="0" fillId="0" borderId="1" xfId="1" applyNumberFormat="1" applyFont="1" applyBorder="1"/>
    <xf numFmtId="165" fontId="0" fillId="0" borderId="12" xfId="1" applyNumberFormat="1" applyFont="1" applyBorder="1"/>
    <xf numFmtId="165" fontId="0" fillId="3" borderId="0" xfId="1" applyNumberFormat="1" applyFont="1" applyFill="1"/>
    <xf numFmtId="165" fontId="5" fillId="3" borderId="14" xfId="1" applyNumberFormat="1" applyFont="1" applyFill="1" applyBorder="1"/>
    <xf numFmtId="0" fontId="2" fillId="0" borderId="0" xfId="0" applyFont="1"/>
    <xf numFmtId="0" fontId="2" fillId="5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38" fontId="1" fillId="0" borderId="0" xfId="0" applyNumberFormat="1" applyFont="1"/>
    <xf numFmtId="38" fontId="0" fillId="0" borderId="14" xfId="0" applyNumberFormat="1" applyBorder="1"/>
    <xf numFmtId="0" fontId="1" fillId="0" borderId="14" xfId="0" applyFont="1" applyBorder="1"/>
    <xf numFmtId="0" fontId="0" fillId="0" borderId="14" xfId="0" applyBorder="1"/>
    <xf numFmtId="8" fontId="0" fillId="4" borderId="12" xfId="0" applyNumberFormat="1" applyFill="1" applyBorder="1"/>
    <xf numFmtId="38" fontId="0" fillId="4" borderId="0" xfId="0" applyNumberFormat="1" applyFill="1"/>
    <xf numFmtId="0" fontId="0" fillId="4" borderId="0" xfId="0" applyFill="1"/>
    <xf numFmtId="0" fontId="2" fillId="4" borderId="9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8" fontId="5" fillId="2" borderId="1" xfId="0" applyNumberFormat="1" applyFont="1" applyFill="1" applyBorder="1"/>
    <xf numFmtId="8" fontId="5" fillId="3" borderId="14" xfId="0" applyNumberFormat="1" applyFont="1" applyFill="1" applyBorder="1"/>
    <xf numFmtId="8" fontId="5" fillId="3" borderId="0" xfId="0" applyNumberFormat="1" applyFont="1" applyFill="1"/>
    <xf numFmtId="166" fontId="5" fillId="6" borderId="1" xfId="3" applyNumberFormat="1" applyFont="1" applyFill="1" applyBorder="1"/>
    <xf numFmtId="0" fontId="2" fillId="6" borderId="0" xfId="0" applyFont="1" applyFill="1"/>
    <xf numFmtId="0" fontId="3" fillId="6" borderId="0" xfId="0" applyFont="1" applyFill="1"/>
    <xf numFmtId="0" fontId="2" fillId="2" borderId="14" xfId="0" applyFont="1" applyFill="1" applyBorder="1"/>
    <xf numFmtId="38" fontId="0" fillId="0" borderId="15" xfId="0" applyNumberFormat="1" applyBorder="1"/>
    <xf numFmtId="44" fontId="1" fillId="0" borderId="0" xfId="2" applyFont="1" applyBorder="1"/>
    <xf numFmtId="44" fontId="0" fillId="0" borderId="0" xfId="2" applyFont="1"/>
    <xf numFmtId="44" fontId="1" fillId="0" borderId="0" xfId="2" applyFont="1" applyFill="1" applyBorder="1"/>
    <xf numFmtId="4" fontId="3" fillId="0" borderId="0" xfId="0" applyNumberFormat="1" applyFont="1"/>
    <xf numFmtId="4" fontId="1" fillId="0" borderId="0" xfId="0" applyNumberFormat="1" applyFont="1"/>
    <xf numFmtId="8" fontId="6" fillId="0" borderId="1" xfId="2" applyNumberFormat="1" applyFont="1" applyFill="1" applyBorder="1"/>
    <xf numFmtId="38" fontId="2" fillId="0" borderId="0" xfId="0" applyNumberFormat="1" applyFont="1"/>
    <xf numFmtId="0" fontId="10" fillId="0" borderId="0" xfId="0" applyFont="1"/>
    <xf numFmtId="0" fontId="1" fillId="4" borderId="0" xfId="0" applyFont="1" applyFill="1"/>
    <xf numFmtId="0" fontId="1" fillId="4" borderId="14" xfId="0" applyFont="1" applyFill="1" applyBorder="1"/>
    <xf numFmtId="0" fontId="9" fillId="0" borderId="0" xfId="0" applyFont="1"/>
    <xf numFmtId="0" fontId="13" fillId="0" borderId="0" xfId="0" applyFont="1"/>
    <xf numFmtId="44" fontId="13" fillId="0" borderId="0" xfId="2" applyFont="1" applyFill="1"/>
    <xf numFmtId="165" fontId="0" fillId="0" borderId="0" xfId="1" applyNumberFormat="1" applyFont="1" applyBorder="1"/>
    <xf numFmtId="44" fontId="0" fillId="0" borderId="0" xfId="2" applyFont="1" applyBorder="1"/>
    <xf numFmtId="44" fontId="2" fillId="0" borderId="0" xfId="2" applyFont="1" applyBorder="1"/>
    <xf numFmtId="165" fontId="1" fillId="0" borderId="0" xfId="1" applyNumberFormat="1" applyFont="1" applyBorder="1"/>
    <xf numFmtId="165" fontId="0" fillId="0" borderId="0" xfId="0" applyNumberFormat="1"/>
    <xf numFmtId="0" fontId="8" fillId="0" borderId="0" xfId="0" applyFont="1"/>
    <xf numFmtId="164" fontId="3" fillId="0" borderId="0" xfId="0" applyNumberFormat="1" applyFont="1"/>
    <xf numFmtId="44" fontId="2" fillId="0" borderId="0" xfId="2" applyFont="1" applyFill="1"/>
    <xf numFmtId="44" fontId="0" fillId="0" borderId="0" xfId="2" applyFont="1" applyFill="1"/>
    <xf numFmtId="0" fontId="12" fillId="0" borderId="0" xfId="0" applyFont="1"/>
    <xf numFmtId="0" fontId="11" fillId="0" borderId="0" xfId="0" applyFont="1"/>
    <xf numFmtId="38" fontId="14" fillId="0" borderId="1" xfId="0" applyNumberFormat="1" applyFont="1" applyBorder="1"/>
    <xf numFmtId="0" fontId="2" fillId="0" borderId="0" xfId="0" applyFont="1" applyAlignment="1">
      <alignment horizontal="center"/>
    </xf>
    <xf numFmtId="0" fontId="0" fillId="7" borderId="0" xfId="0" applyFill="1"/>
    <xf numFmtId="0" fontId="1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38" fontId="9" fillId="0" borderId="1" xfId="0" applyNumberFormat="1" applyFont="1" applyBorder="1"/>
    <xf numFmtId="0" fontId="11" fillId="0" borderId="14" xfId="0" applyFont="1" applyBorder="1"/>
    <xf numFmtId="38" fontId="11" fillId="0" borderId="0" xfId="0" applyNumberFormat="1" applyFont="1"/>
    <xf numFmtId="167" fontId="2" fillId="0" borderId="0" xfId="2" applyNumberFormat="1" applyFont="1"/>
    <xf numFmtId="44" fontId="2" fillId="0" borderId="0" xfId="2" applyFont="1"/>
    <xf numFmtId="165" fontId="0" fillId="3" borderId="15" xfId="1" applyNumberFormat="1" applyFont="1" applyFill="1" applyBorder="1"/>
    <xf numFmtId="165" fontId="2" fillId="0" borderId="0" xfId="1" applyNumberFormat="1" applyFont="1" applyBorder="1"/>
    <xf numFmtId="167" fontId="2" fillId="0" borderId="0" xfId="0" applyNumberFormat="1" applyFont="1"/>
    <xf numFmtId="44" fontId="2" fillId="0" borderId="0" xfId="0" applyNumberFormat="1" applyFont="1"/>
    <xf numFmtId="38" fontId="1" fillId="0" borderId="2" xfId="0" applyNumberFormat="1" applyFont="1" applyBorder="1"/>
    <xf numFmtId="165" fontId="9" fillId="0" borderId="1" xfId="1" applyNumberFormat="1" applyFont="1" applyBorder="1"/>
    <xf numFmtId="164" fontId="9" fillId="3" borderId="14" xfId="0" applyNumberFormat="1" applyFont="1" applyFill="1" applyBorder="1"/>
    <xf numFmtId="8" fontId="9" fillId="3" borderId="0" xfId="0" applyNumberFormat="1" applyFont="1" applyFill="1"/>
    <xf numFmtId="0" fontId="9" fillId="0" borderId="0" xfId="0" applyFont="1" applyAlignment="1">
      <alignment horizontal="left"/>
    </xf>
    <xf numFmtId="14" fontId="0" fillId="0" borderId="0" xfId="0" applyNumberFormat="1"/>
    <xf numFmtId="0" fontId="11" fillId="4" borderId="0" xfId="0" applyFont="1" applyFill="1" applyAlignment="1">
      <alignment horizontal="center"/>
    </xf>
    <xf numFmtId="6" fontId="2" fillId="4" borderId="0" xfId="0" applyNumberFormat="1" applyFont="1" applyFill="1" applyAlignment="1">
      <alignment horizontal="center"/>
    </xf>
    <xf numFmtId="8" fontId="1" fillId="0" borderId="1" xfId="2" applyNumberFormat="1" applyFont="1" applyFill="1" applyBorder="1"/>
    <xf numFmtId="0" fontId="15" fillId="0" borderId="0" xfId="0" applyFont="1"/>
    <xf numFmtId="38" fontId="0" fillId="0" borderId="1" xfId="1" applyNumberFormat="1" applyFont="1" applyBorder="1"/>
    <xf numFmtId="38" fontId="0" fillId="3" borderId="14" xfId="1" applyNumberFormat="1" applyFont="1" applyFill="1" applyBorder="1"/>
    <xf numFmtId="38" fontId="0" fillId="3" borderId="0" xfId="1" applyNumberFormat="1" applyFont="1" applyFill="1"/>
    <xf numFmtId="38" fontId="0" fillId="0" borderId="2" xfId="1" applyNumberFormat="1" applyFont="1" applyBorder="1"/>
    <xf numFmtId="38" fontId="0" fillId="3" borderId="4" xfId="1" applyNumberFormat="1" applyFont="1" applyFill="1" applyBorder="1"/>
    <xf numFmtId="0" fontId="1" fillId="0" borderId="0" xfId="0" applyFont="1" applyAlignment="1">
      <alignment horizontal="center"/>
    </xf>
    <xf numFmtId="0" fontId="16" fillId="0" borderId="0" xfId="0" applyFont="1"/>
    <xf numFmtId="8" fontId="0" fillId="0" borderId="12" xfId="0" applyNumberFormat="1" applyBorder="1"/>
    <xf numFmtId="165" fontId="1" fillId="0" borderId="0" xfId="1" applyNumberFormat="1" applyFont="1" applyFill="1" applyBorder="1" applyAlignment="1">
      <alignment horizontal="center"/>
    </xf>
    <xf numFmtId="38" fontId="5" fillId="0" borderId="2" xfId="0" applyNumberFormat="1" applyFont="1" applyBorder="1"/>
    <xf numFmtId="0" fontId="0" fillId="0" borderId="0" xfId="0" applyAlignment="1">
      <alignment horizontal="left" vertical="top"/>
    </xf>
    <xf numFmtId="8" fontId="1" fillId="4" borderId="1" xfId="0" applyNumberFormat="1" applyFont="1" applyFill="1" applyBorder="1" applyAlignment="1">
      <alignment horizontal="center"/>
    </xf>
    <xf numFmtId="166" fontId="19" fillId="0" borderId="14" xfId="0" applyNumberFormat="1" applyFont="1" applyBorder="1"/>
    <xf numFmtId="0" fontId="19" fillId="0" borderId="0" xfId="0" applyFont="1"/>
    <xf numFmtId="0" fontId="18" fillId="0" borderId="0" xfId="0" applyFont="1"/>
    <xf numFmtId="8" fontId="1" fillId="0" borderId="0" xfId="0" applyNumberFormat="1" applyFont="1" applyAlignment="1">
      <alignment horizontal="center"/>
    </xf>
    <xf numFmtId="167" fontId="0" fillId="4" borderId="0" xfId="2" applyNumberFormat="1" applyFont="1" applyFill="1"/>
    <xf numFmtId="167" fontId="0" fillId="4" borderId="21" xfId="0" applyNumberFormat="1" applyFill="1" applyBorder="1" applyAlignment="1">
      <alignment horizontal="left" vertical="top"/>
    </xf>
    <xf numFmtId="167" fontId="0" fillId="0" borderId="0" xfId="2" applyNumberFormat="1" applyFont="1" applyFill="1"/>
    <xf numFmtId="167" fontId="0" fillId="0" borderId="21" xfId="0" applyNumberForma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20" fillId="0" borderId="0" xfId="0" applyFont="1"/>
    <xf numFmtId="0" fontId="0" fillId="8" borderId="9" xfId="0" applyFill="1" applyBorder="1"/>
    <xf numFmtId="0" fontId="3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17" fillId="0" borderId="0" xfId="0" applyFont="1"/>
    <xf numFmtId="9" fontId="0" fillId="0" borderId="0" xfId="3" applyFont="1" applyFill="1" applyBorder="1" applyAlignment="1">
      <alignment horizontal="center" vertical="top"/>
    </xf>
    <xf numFmtId="0" fontId="25" fillId="0" borderId="0" xfId="0" applyFont="1" applyAlignment="1">
      <alignment horizontal="left" vertical="top"/>
    </xf>
    <xf numFmtId="0" fontId="10" fillId="0" borderId="14" xfId="0" applyFont="1" applyBorder="1"/>
    <xf numFmtId="14" fontId="8" fillId="0" borderId="0" xfId="0" applyNumberFormat="1" applyFont="1"/>
    <xf numFmtId="0" fontId="2" fillId="5" borderId="0" xfId="0" applyFont="1" applyFill="1" applyAlignment="1">
      <alignment horizontal="center"/>
    </xf>
    <xf numFmtId="38" fontId="25" fillId="0" borderId="0" xfId="0" applyNumberFormat="1" applyFont="1"/>
    <xf numFmtId="0" fontId="26" fillId="0" borderId="0" xfId="0" applyFont="1"/>
    <xf numFmtId="38" fontId="15" fillId="0" borderId="0" xfId="0" applyNumberFormat="1" applyFont="1"/>
    <xf numFmtId="38" fontId="11" fillId="0" borderId="0" xfId="0" applyNumberFormat="1" applyFont="1" applyAlignment="1">
      <alignment horizontal="right"/>
    </xf>
    <xf numFmtId="0" fontId="2" fillId="5" borderId="12" xfId="0" applyFont="1" applyFill="1" applyBorder="1" applyAlignment="1">
      <alignment horizontal="center"/>
    </xf>
    <xf numFmtId="165" fontId="0" fillId="0" borderId="1" xfId="1" applyNumberFormat="1" applyFont="1" applyFill="1" applyBorder="1"/>
    <xf numFmtId="165" fontId="0" fillId="0" borderId="12" xfId="1" applyNumberFormat="1" applyFont="1" applyFill="1" applyBorder="1"/>
    <xf numFmtId="0" fontId="11" fillId="0" borderId="0" xfId="0" applyFont="1" applyAlignment="1">
      <alignment horizontal="center"/>
    </xf>
    <xf numFmtId="8" fontId="0" fillId="0" borderId="22" xfId="0" applyNumberFormat="1" applyBorder="1"/>
    <xf numFmtId="38" fontId="11" fillId="7" borderId="0" xfId="0" applyNumberFormat="1" applyFont="1" applyFill="1"/>
    <xf numFmtId="165" fontId="11" fillId="7" borderId="1" xfId="1" applyNumberFormat="1" applyFont="1" applyFill="1" applyBorder="1" applyAlignment="1">
      <alignment horizontal="center"/>
    </xf>
    <xf numFmtId="38" fontId="0" fillId="7" borderId="0" xfId="0" applyNumberFormat="1" applyFill="1"/>
    <xf numFmtId="38" fontId="1" fillId="0" borderId="1" xfId="0" applyNumberFormat="1" applyFont="1" applyBorder="1"/>
    <xf numFmtId="8" fontId="0" fillId="4" borderId="22" xfId="0" applyNumberFormat="1" applyFill="1" applyBorder="1"/>
    <xf numFmtId="0" fontId="1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2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/>
    <xf numFmtId="0" fontId="20" fillId="0" borderId="14" xfId="0" applyFont="1" applyBorder="1" applyAlignment="1">
      <alignment horizontal="left"/>
    </xf>
    <xf numFmtId="0" fontId="21" fillId="0" borderId="0" xfId="0" applyFont="1"/>
    <xf numFmtId="38" fontId="23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38" fontId="11" fillId="0" borderId="14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2" xfId="0" applyFont="1" applyBorder="1" applyAlignment="1">
      <alignment horizontal="center"/>
    </xf>
    <xf numFmtId="38" fontId="0" fillId="0" borderId="1" xfId="0" applyNumberFormat="1" applyFill="1" applyBorder="1"/>
    <xf numFmtId="0" fontId="9" fillId="5" borderId="0" xfId="0" applyFont="1" applyFill="1" applyAlignment="1"/>
    <xf numFmtId="0" fontId="0" fillId="5" borderId="0" xfId="0" applyFill="1" applyAlignment="1"/>
    <xf numFmtId="0" fontId="14" fillId="0" borderId="0" xfId="0" applyFont="1"/>
    <xf numFmtId="0" fontId="27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158751</xdr:colOff>
      <xdr:row>77</xdr:row>
      <xdr:rowOff>111125</xdr:rowOff>
    </xdr:from>
    <xdr:to>
      <xdr:col>40</xdr:col>
      <xdr:colOff>214313</xdr:colOff>
      <xdr:row>93</xdr:row>
      <xdr:rowOff>115656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5EA7FA-9283-3731-6896-8FB79C4BF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34376" y="12644438"/>
          <a:ext cx="6167437" cy="2576281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70</xdr:row>
      <xdr:rowOff>0</xdr:rowOff>
    </xdr:from>
    <xdr:to>
      <xdr:col>22</xdr:col>
      <xdr:colOff>563563</xdr:colOff>
      <xdr:row>87</xdr:row>
      <xdr:rowOff>42079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EEF1F00-75BA-E88C-306A-FA1B16482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3689" y="11263313"/>
          <a:ext cx="6627812" cy="27408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11</xdr:col>
      <xdr:colOff>357187</xdr:colOff>
      <xdr:row>123</xdr:row>
      <xdr:rowOff>21307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C5C858E-D304-2F16-8658-78CBA8C1D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72813"/>
          <a:ext cx="7493000" cy="868905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22</xdr:col>
      <xdr:colOff>502822</xdr:colOff>
      <xdr:row>109</xdr:row>
      <xdr:rowOff>87312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3BE2FD0-727F-D565-82A6-9A9C534B3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3688" y="14120813"/>
          <a:ext cx="6567072" cy="3484562"/>
        </a:xfrm>
        <a:prstGeom prst="rect">
          <a:avLst/>
        </a:prstGeom>
      </xdr:spPr>
    </xdr:pic>
    <xdr:clientData/>
  </xdr:twoCellAnchor>
  <xdr:twoCellAnchor editAs="oneCell">
    <xdr:from>
      <xdr:col>25</xdr:col>
      <xdr:colOff>87312</xdr:colOff>
      <xdr:row>49</xdr:row>
      <xdr:rowOff>87314</xdr:rowOff>
    </xdr:from>
    <xdr:to>
      <xdr:col>34</xdr:col>
      <xdr:colOff>230712</xdr:colOff>
      <xdr:row>67</xdr:row>
      <xdr:rowOff>55564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AD02B98-70C3-A288-EF58-4FB9D0501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9125" y="7929564"/>
          <a:ext cx="6421962" cy="282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14"/>
  <sheetViews>
    <sheetView tabSelected="1" zoomScale="120" zoomScaleNormal="120" workbookViewId="0"/>
  </sheetViews>
  <sheetFormatPr defaultRowHeight="12.75" x14ac:dyDescent="0.2"/>
  <cols>
    <col min="3" max="3" width="12.42578125" customWidth="1"/>
    <col min="5" max="5" width="8.140625" customWidth="1"/>
    <col min="6" max="7" width="11.7109375" customWidth="1"/>
    <col min="8" max="8" width="0.7109375" customWidth="1"/>
    <col min="9" max="13" width="11.7109375" customWidth="1"/>
    <col min="14" max="14" width="1" customWidth="1"/>
    <col min="15" max="19" width="10.7109375" customWidth="1"/>
    <col min="20" max="20" width="0.7109375" customWidth="1"/>
    <col min="21" max="21" width="12.7109375" customWidth="1"/>
    <col min="22" max="22" width="11.28515625" customWidth="1"/>
    <col min="23" max="23" width="9.85546875" customWidth="1"/>
    <col min="24" max="24" width="15.28515625" customWidth="1"/>
    <col min="25" max="25" width="20.85546875" customWidth="1"/>
    <col min="26" max="26" width="16.42578125" customWidth="1"/>
    <col min="27" max="27" width="1.140625" customWidth="1"/>
    <col min="28" max="28" width="15.5703125" customWidth="1"/>
    <col min="29" max="29" width="7.7109375" customWidth="1"/>
    <col min="30" max="30" width="16.5703125" customWidth="1"/>
  </cols>
  <sheetData>
    <row r="1" spans="1:30" x14ac:dyDescent="0.2">
      <c r="J1" s="161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30" x14ac:dyDescent="0.2">
      <c r="A2" s="57"/>
      <c r="I2" s="161"/>
      <c r="J2" s="57"/>
      <c r="K2" s="57"/>
      <c r="L2" s="57"/>
      <c r="M2" s="57"/>
      <c r="N2" s="63"/>
      <c r="O2" s="63"/>
      <c r="P2" s="63"/>
      <c r="Q2" s="63"/>
      <c r="R2" s="63"/>
      <c r="S2" s="63"/>
      <c r="T2" s="63"/>
      <c r="U2" s="63"/>
      <c r="V2" s="141"/>
      <c r="W2" s="141"/>
      <c r="X2" s="141"/>
      <c r="Y2" s="197"/>
    </row>
    <row r="3" spans="1:30" x14ac:dyDescent="0.2">
      <c r="A3" s="63" t="s">
        <v>91</v>
      </c>
      <c r="B3" s="3"/>
      <c r="F3" s="181" t="s">
        <v>59</v>
      </c>
      <c r="G3" s="182"/>
      <c r="H3" s="182"/>
      <c r="I3" s="182"/>
      <c r="J3" s="182"/>
      <c r="K3" s="141"/>
      <c r="L3" s="141"/>
      <c r="M3" s="141"/>
      <c r="O3" s="195" t="s">
        <v>97</v>
      </c>
      <c r="P3" s="196"/>
      <c r="Q3" s="196"/>
      <c r="R3" s="196"/>
      <c r="S3" s="196"/>
      <c r="V3" s="141"/>
      <c r="W3" s="141"/>
      <c r="X3" s="141"/>
      <c r="Y3" s="141"/>
    </row>
    <row r="4" spans="1:30" ht="15" x14ac:dyDescent="0.2">
      <c r="A4" s="63" t="s">
        <v>92</v>
      </c>
      <c r="B4" s="3"/>
      <c r="G4" s="140"/>
      <c r="I4" s="183" t="s">
        <v>61</v>
      </c>
      <c r="J4" s="184"/>
      <c r="K4" s="184"/>
      <c r="L4" s="184"/>
      <c r="M4" s="184"/>
      <c r="N4" s="185"/>
      <c r="O4" s="185"/>
      <c r="P4" s="185"/>
      <c r="Q4" s="185"/>
      <c r="R4" s="185"/>
      <c r="S4" s="185"/>
      <c r="T4" s="185"/>
      <c r="U4" s="185"/>
      <c r="V4" s="141"/>
      <c r="W4" s="141"/>
      <c r="X4" s="141"/>
      <c r="Y4" s="141"/>
      <c r="Z4" s="90"/>
      <c r="AA4" s="90"/>
      <c r="AB4" s="90"/>
    </row>
    <row r="5" spans="1:30" x14ac:dyDescent="0.2">
      <c r="A5" s="94" t="s">
        <v>83</v>
      </c>
      <c r="B5" s="94"/>
      <c r="C5" s="94"/>
      <c r="D5" s="94"/>
      <c r="E5" s="94"/>
      <c r="F5" s="19"/>
      <c r="G5" s="19"/>
      <c r="H5" s="37"/>
      <c r="I5" s="64" t="s">
        <v>10</v>
      </c>
      <c r="J5" s="64" t="s">
        <v>10</v>
      </c>
      <c r="K5" s="64" t="s">
        <v>10</v>
      </c>
      <c r="L5" s="64" t="s">
        <v>10</v>
      </c>
      <c r="M5" s="64" t="s">
        <v>10</v>
      </c>
      <c r="N5" s="23"/>
      <c r="O5" s="64" t="s">
        <v>10</v>
      </c>
      <c r="P5" s="73" t="s">
        <v>8</v>
      </c>
      <c r="Q5" s="73" t="s">
        <v>8</v>
      </c>
      <c r="R5" s="73" t="s">
        <v>8</v>
      </c>
      <c r="S5" s="73" t="s">
        <v>8</v>
      </c>
      <c r="T5" s="23"/>
      <c r="U5" s="158"/>
    </row>
    <row r="6" spans="1:30" x14ac:dyDescent="0.2">
      <c r="F6" s="17" t="s">
        <v>10</v>
      </c>
      <c r="G6" s="17" t="s">
        <v>10</v>
      </c>
      <c r="H6" s="38"/>
      <c r="I6" s="65" t="s">
        <v>11</v>
      </c>
      <c r="J6" s="65" t="s">
        <v>12</v>
      </c>
      <c r="K6" s="65" t="s">
        <v>13</v>
      </c>
      <c r="L6" s="65" t="s">
        <v>14</v>
      </c>
      <c r="M6" s="171" t="s">
        <v>22</v>
      </c>
      <c r="N6" s="24"/>
      <c r="O6" s="65" t="s">
        <v>11</v>
      </c>
      <c r="P6" s="58" t="s">
        <v>12</v>
      </c>
      <c r="Q6" s="58" t="s">
        <v>13</v>
      </c>
      <c r="R6" s="58" t="s">
        <v>14</v>
      </c>
      <c r="S6" s="74" t="s">
        <v>22</v>
      </c>
      <c r="T6" s="24"/>
      <c r="U6" s="159" t="s">
        <v>8</v>
      </c>
    </row>
    <row r="7" spans="1:30" x14ac:dyDescent="0.2">
      <c r="F7" s="111">
        <v>2023</v>
      </c>
      <c r="G7" s="111">
        <v>2024</v>
      </c>
      <c r="H7" s="112"/>
      <c r="I7" s="113">
        <v>2025</v>
      </c>
      <c r="J7" s="113">
        <v>2025</v>
      </c>
      <c r="K7" s="113">
        <v>2025</v>
      </c>
      <c r="L7" s="113">
        <v>2025</v>
      </c>
      <c r="M7" s="113">
        <v>2025</v>
      </c>
      <c r="N7" s="114"/>
      <c r="O7" s="113">
        <v>2026</v>
      </c>
      <c r="P7" s="115">
        <v>2026</v>
      </c>
      <c r="Q7" s="115">
        <v>2026</v>
      </c>
      <c r="R7" s="115">
        <v>2026</v>
      </c>
      <c r="S7" s="115">
        <v>2026</v>
      </c>
      <c r="T7" s="114"/>
      <c r="U7" s="160">
        <v>2027</v>
      </c>
    </row>
    <row r="8" spans="1:30" x14ac:dyDescent="0.2">
      <c r="A8" t="s">
        <v>0</v>
      </c>
      <c r="F8" s="69"/>
      <c r="G8" s="69"/>
      <c r="H8" s="39"/>
      <c r="I8" s="5"/>
      <c r="J8" s="5"/>
      <c r="K8" s="5"/>
      <c r="L8" s="5"/>
      <c r="M8" s="49"/>
      <c r="N8" s="23"/>
      <c r="O8" s="5"/>
      <c r="P8" s="5"/>
      <c r="Q8" s="5"/>
      <c r="R8" s="5"/>
      <c r="S8" s="49"/>
      <c r="T8" s="23"/>
      <c r="U8" s="55"/>
      <c r="V8" s="57" t="s">
        <v>71</v>
      </c>
    </row>
    <row r="9" spans="1:30" x14ac:dyDescent="0.2">
      <c r="A9" t="s">
        <v>18</v>
      </c>
      <c r="F9" s="6">
        <v>78858</v>
      </c>
      <c r="G9" s="6">
        <v>110536</v>
      </c>
      <c r="H9" s="40"/>
      <c r="I9" s="6">
        <v>34685</v>
      </c>
      <c r="J9" s="6">
        <v>41992</v>
      </c>
      <c r="K9" s="6">
        <v>47766</v>
      </c>
      <c r="L9" s="6">
        <v>47335</v>
      </c>
      <c r="M9" s="53">
        <f t="shared" ref="M9:M13" si="0">SUM(I9:L9)</f>
        <v>171778</v>
      </c>
      <c r="N9" s="25"/>
      <c r="O9" s="6">
        <v>47549</v>
      </c>
      <c r="P9" s="6">
        <f t="shared" ref="P9:Q9" si="1">P60</f>
        <v>56464.919138028163</v>
      </c>
      <c r="Q9" s="6">
        <f t="shared" si="1"/>
        <v>78507.728014084511</v>
      </c>
      <c r="R9" s="6">
        <f>R60</f>
        <v>96549.523886422539</v>
      </c>
      <c r="S9" s="53">
        <f t="shared" ref="S9:S13" si="2">SUM(O9:R9)</f>
        <v>279071.17103853519</v>
      </c>
      <c r="T9" s="25"/>
      <c r="U9" s="6">
        <f>U60</f>
        <v>435125.50264788739</v>
      </c>
      <c r="V9" s="57" t="s">
        <v>112</v>
      </c>
    </row>
    <row r="10" spans="1:30" x14ac:dyDescent="0.2">
      <c r="A10" s="57" t="s">
        <v>32</v>
      </c>
      <c r="F10" s="135">
        <v>-9528</v>
      </c>
      <c r="G10" s="135">
        <v>-9628</v>
      </c>
      <c r="H10" s="136"/>
      <c r="I10" s="135">
        <v>-3381</v>
      </c>
      <c r="J10" s="135">
        <v>-2202</v>
      </c>
      <c r="K10" s="135">
        <v>-3370</v>
      </c>
      <c r="L10" s="135">
        <v>-3430</v>
      </c>
      <c r="M10" s="35">
        <f t="shared" si="0"/>
        <v>-12383</v>
      </c>
      <c r="N10" s="137"/>
      <c r="O10" s="135">
        <v>-3935</v>
      </c>
      <c r="P10" s="135">
        <f>-P9*0.085</f>
        <v>-4799.5181267323942</v>
      </c>
      <c r="Q10" s="135">
        <f t="shared" ref="Q10:R10" si="3">-Q9*0.085</f>
        <v>-6673.1568811971838</v>
      </c>
      <c r="R10" s="135">
        <f t="shared" si="3"/>
        <v>-8206.7095303459173</v>
      </c>
      <c r="S10" s="35">
        <f t="shared" si="2"/>
        <v>-23614.384538275495</v>
      </c>
      <c r="T10" s="137"/>
      <c r="U10" s="135">
        <f>-U9*0.085</f>
        <v>-36985.667725070431</v>
      </c>
      <c r="V10" s="198" t="s">
        <v>113</v>
      </c>
    </row>
    <row r="11" spans="1:30" x14ac:dyDescent="0.2">
      <c r="A11" s="57" t="s">
        <v>93</v>
      </c>
      <c r="F11" s="135">
        <v>3388</v>
      </c>
      <c r="G11" s="135">
        <v>3333</v>
      </c>
      <c r="H11" s="136"/>
      <c r="I11" s="135">
        <v>603</v>
      </c>
      <c r="J11" s="135">
        <v>719</v>
      </c>
      <c r="K11" s="135">
        <v>1792</v>
      </c>
      <c r="L11" s="135">
        <v>1218</v>
      </c>
      <c r="M11" s="35">
        <f t="shared" si="0"/>
        <v>4332</v>
      </c>
      <c r="N11" s="137"/>
      <c r="O11" s="135">
        <v>624</v>
      </c>
      <c r="P11" s="135">
        <f>P52*91*0.36/1000</f>
        <v>556.91999999999996</v>
      </c>
      <c r="Q11" s="135">
        <f>Q52*92*0.36/1000</f>
        <v>612.72</v>
      </c>
      <c r="R11" s="135">
        <f>R52*92*0.36/1000</f>
        <v>671.1436799999999</v>
      </c>
      <c r="S11" s="35">
        <f t="shared" si="2"/>
        <v>2464.78368</v>
      </c>
      <c r="T11" s="137"/>
      <c r="U11" s="135">
        <v>10000</v>
      </c>
      <c r="V11" s="57" t="s">
        <v>114</v>
      </c>
    </row>
    <row r="12" spans="1:30" x14ac:dyDescent="0.2">
      <c r="A12" s="57" t="s">
        <v>33</v>
      </c>
      <c r="F12" s="135">
        <v>0</v>
      </c>
      <c r="G12" s="135">
        <v>1684</v>
      </c>
      <c r="H12" s="136"/>
      <c r="I12" s="135">
        <v>165</v>
      </c>
      <c r="J12" s="135">
        <v>2349</v>
      </c>
      <c r="K12" s="135">
        <v>-710</v>
      </c>
      <c r="L12" s="135">
        <v>9846</v>
      </c>
      <c r="M12" s="35">
        <f t="shared" si="0"/>
        <v>11650</v>
      </c>
      <c r="N12" s="137"/>
      <c r="O12" s="135">
        <v>-939</v>
      </c>
      <c r="P12" s="135">
        <v>0</v>
      </c>
      <c r="Q12" s="135">
        <v>0</v>
      </c>
      <c r="R12" s="135">
        <v>0</v>
      </c>
      <c r="S12" s="35">
        <f t="shared" si="2"/>
        <v>-939</v>
      </c>
      <c r="T12" s="137"/>
      <c r="U12" s="135">
        <v>0</v>
      </c>
      <c r="V12" s="106" t="s">
        <v>72</v>
      </c>
      <c r="W12" s="106"/>
      <c r="X12" s="106"/>
    </row>
    <row r="13" spans="1:30" x14ac:dyDescent="0.2">
      <c r="A13" s="57" t="s">
        <v>34</v>
      </c>
      <c r="F13" s="138">
        <v>0</v>
      </c>
      <c r="G13" s="138">
        <v>1845</v>
      </c>
      <c r="H13" s="121"/>
      <c r="I13" s="138">
        <v>-3785</v>
      </c>
      <c r="J13" s="138">
        <v>10003</v>
      </c>
      <c r="K13" s="138">
        <v>2689</v>
      </c>
      <c r="L13" s="138">
        <v>-705</v>
      </c>
      <c r="M13" s="125">
        <f t="shared" si="0"/>
        <v>8202</v>
      </c>
      <c r="N13" s="139"/>
      <c r="O13" s="138">
        <v>-17394</v>
      </c>
      <c r="P13" s="138">
        <v>0</v>
      </c>
      <c r="Q13" s="138">
        <v>0</v>
      </c>
      <c r="R13" s="138">
        <v>0</v>
      </c>
      <c r="S13" s="125">
        <f t="shared" si="2"/>
        <v>-17394</v>
      </c>
      <c r="T13" s="139"/>
      <c r="U13" s="138">
        <v>0</v>
      </c>
      <c r="V13" s="57"/>
    </row>
    <row r="14" spans="1:30" x14ac:dyDescent="0.2">
      <c r="F14" s="59">
        <f>SUM(F9:F13)</f>
        <v>72718</v>
      </c>
      <c r="G14" s="59">
        <f>SUM(G9:G13)</f>
        <v>107770</v>
      </c>
      <c r="H14" s="62"/>
      <c r="I14" s="59">
        <f>SUM(I9:I13)</f>
        <v>28287</v>
      </c>
      <c r="J14" s="59">
        <f>SUM(J9:J13)</f>
        <v>52861</v>
      </c>
      <c r="K14" s="59">
        <f>SUM(K9:K13)</f>
        <v>48167</v>
      </c>
      <c r="L14" s="59">
        <f>SUM(L9:L13)</f>
        <v>54264</v>
      </c>
      <c r="M14" s="172">
        <f>SUM(M9:M13)</f>
        <v>183579</v>
      </c>
      <c r="N14" s="61"/>
      <c r="O14" s="59">
        <f>SUM(O9:O13)</f>
        <v>25905</v>
      </c>
      <c r="P14" s="59">
        <f>SUM(P9:P13)</f>
        <v>52222.321011295768</v>
      </c>
      <c r="Q14" s="59">
        <f>SUM(Q9:Q13)</f>
        <v>72447.291132887331</v>
      </c>
      <c r="R14" s="59">
        <f>SUM(R9:R13)</f>
        <v>89013.958036076612</v>
      </c>
      <c r="S14" s="59">
        <f>SUM(S9:S13)</f>
        <v>239588.5701802597</v>
      </c>
      <c r="T14" s="61"/>
      <c r="U14" s="59">
        <f>SUM(U9:U13)</f>
        <v>408139.83492281695</v>
      </c>
      <c r="AD14" s="57"/>
    </row>
    <row r="15" spans="1:30" x14ac:dyDescent="0.2">
      <c r="A15" t="s">
        <v>1</v>
      </c>
      <c r="F15" s="59"/>
      <c r="G15" s="59"/>
      <c r="H15" s="62"/>
      <c r="I15" s="59"/>
      <c r="J15" s="59"/>
      <c r="K15" s="59"/>
      <c r="L15" s="59"/>
      <c r="M15" s="173"/>
      <c r="N15" s="61"/>
      <c r="O15" s="59"/>
      <c r="P15" s="59"/>
      <c r="Q15" s="59"/>
      <c r="R15" s="59"/>
      <c r="S15" s="60"/>
      <c r="T15" s="61"/>
      <c r="U15" s="59"/>
      <c r="V15" s="90" t="s">
        <v>105</v>
      </c>
    </row>
    <row r="16" spans="1:30" x14ac:dyDescent="0.2">
      <c r="A16" s="57" t="s">
        <v>81</v>
      </c>
      <c r="F16" s="59">
        <v>31073</v>
      </c>
      <c r="G16" s="59">
        <v>37916</v>
      </c>
      <c r="H16" s="62"/>
      <c r="I16" s="59">
        <v>11340</v>
      </c>
      <c r="J16" s="59">
        <v>10161</v>
      </c>
      <c r="K16" s="59">
        <v>12806</v>
      </c>
      <c r="L16" s="59">
        <v>11929</v>
      </c>
      <c r="M16" s="35">
        <f>SUM(I16:L16)</f>
        <v>46236</v>
      </c>
      <c r="N16" s="61"/>
      <c r="O16" s="59">
        <v>12560</v>
      </c>
      <c r="P16" s="59">
        <f>P52*8.45*91/1000</f>
        <v>13072.15</v>
      </c>
      <c r="Q16" s="59">
        <f>Q52*8.45*92/1000</f>
        <v>14381.9</v>
      </c>
      <c r="R16" s="59">
        <f>R52*8.45*92/1000</f>
        <v>15753.2336</v>
      </c>
      <c r="S16" s="35">
        <f>SUM(O16:R16)</f>
        <v>55767.283600000002</v>
      </c>
      <c r="T16" s="61"/>
      <c r="U16" s="59">
        <f>U52*8.45*365/1000</f>
        <v>69704.049999999988</v>
      </c>
      <c r="V16" s="57" t="s">
        <v>115</v>
      </c>
      <c r="W16" s="94"/>
      <c r="X16" s="94"/>
    </row>
    <row r="17" spans="1:28" x14ac:dyDescent="0.2">
      <c r="A17" s="57" t="s">
        <v>35</v>
      </c>
      <c r="F17" s="59">
        <v>8069</v>
      </c>
      <c r="G17" s="59">
        <v>8879</v>
      </c>
      <c r="H17" s="62"/>
      <c r="I17" s="59">
        <v>1855</v>
      </c>
      <c r="J17" s="59">
        <v>2242</v>
      </c>
      <c r="K17" s="59">
        <v>2555</v>
      </c>
      <c r="L17" s="59">
        <v>2474</v>
      </c>
      <c r="M17" s="35">
        <f t="shared" ref="M17:M28" si="4">SUM(I17:L17)</f>
        <v>9126</v>
      </c>
      <c r="N17" s="61"/>
      <c r="O17" s="59">
        <v>2310</v>
      </c>
      <c r="P17" s="59">
        <f>P52*2.65*91/1000</f>
        <v>4099.55</v>
      </c>
      <c r="Q17" s="59">
        <f>Q52*2.65*92/1000</f>
        <v>4510.3</v>
      </c>
      <c r="R17" s="59">
        <f>R52*2.65*92/1000</f>
        <v>4940.3631999999998</v>
      </c>
      <c r="S17" s="35">
        <f t="shared" ref="S17:S28" si="5">SUM(O17:R17)</f>
        <v>15860.2132</v>
      </c>
      <c r="T17" s="61"/>
      <c r="U17" s="59">
        <f>U52*2.65*365/1000</f>
        <v>21859.85</v>
      </c>
      <c r="V17" s="57" t="s">
        <v>116</v>
      </c>
      <c r="W17" s="93"/>
      <c r="X17" s="93"/>
      <c r="Y17" s="106"/>
    </row>
    <row r="18" spans="1:28" x14ac:dyDescent="0.2">
      <c r="A18" s="57" t="s">
        <v>36</v>
      </c>
      <c r="F18" s="7">
        <v>5796</v>
      </c>
      <c r="G18" s="7">
        <v>5594</v>
      </c>
      <c r="H18" s="41"/>
      <c r="I18" s="7">
        <v>1515</v>
      </c>
      <c r="J18" s="7">
        <v>1707</v>
      </c>
      <c r="K18" s="7">
        <v>1839</v>
      </c>
      <c r="L18" s="7">
        <v>1842</v>
      </c>
      <c r="M18" s="35">
        <f t="shared" si="4"/>
        <v>6903</v>
      </c>
      <c r="N18" s="26"/>
      <c r="O18" s="7">
        <v>1563</v>
      </c>
      <c r="P18" s="7">
        <v>2000</v>
      </c>
      <c r="Q18" s="7">
        <v>2000</v>
      </c>
      <c r="R18" s="7">
        <v>2500</v>
      </c>
      <c r="S18" s="35">
        <f t="shared" si="5"/>
        <v>8063</v>
      </c>
      <c r="T18" s="26"/>
      <c r="U18" s="59">
        <v>10000</v>
      </c>
      <c r="V18" s="57"/>
    </row>
    <row r="19" spans="1:28" x14ac:dyDescent="0.2">
      <c r="A19" s="57" t="s">
        <v>37</v>
      </c>
      <c r="F19" s="7">
        <v>13670</v>
      </c>
      <c r="G19" s="7">
        <v>4959</v>
      </c>
      <c r="H19" s="41"/>
      <c r="I19" s="59">
        <v>781</v>
      </c>
      <c r="J19" s="59">
        <v>1332</v>
      </c>
      <c r="K19" s="59">
        <v>1370</v>
      </c>
      <c r="L19" s="59">
        <v>1260</v>
      </c>
      <c r="M19" s="35">
        <f t="shared" si="4"/>
        <v>4743</v>
      </c>
      <c r="N19" s="26"/>
      <c r="O19" s="59">
        <v>1053</v>
      </c>
      <c r="P19" s="59">
        <v>1250</v>
      </c>
      <c r="Q19" s="59">
        <v>1250</v>
      </c>
      <c r="R19" s="59">
        <v>1500</v>
      </c>
      <c r="S19" s="35">
        <f t="shared" si="5"/>
        <v>5053</v>
      </c>
      <c r="T19" s="26"/>
      <c r="U19" s="59">
        <v>6000</v>
      </c>
      <c r="V19" s="57"/>
    </row>
    <row r="20" spans="1:28" x14ac:dyDescent="0.2">
      <c r="A20" s="57" t="s">
        <v>46</v>
      </c>
      <c r="F20" s="7">
        <v>-978</v>
      </c>
      <c r="G20" s="7">
        <v>893</v>
      </c>
      <c r="H20" s="41"/>
      <c r="I20" s="7">
        <v>962</v>
      </c>
      <c r="J20" s="7">
        <v>1875</v>
      </c>
      <c r="K20" s="7">
        <v>2735</v>
      </c>
      <c r="L20" s="7">
        <v>2656</v>
      </c>
      <c r="M20" s="35">
        <f t="shared" si="4"/>
        <v>8228</v>
      </c>
      <c r="N20" s="26"/>
      <c r="O20" s="7">
        <v>2534</v>
      </c>
      <c r="P20" s="7">
        <v>3000</v>
      </c>
      <c r="Q20" s="7">
        <v>3250</v>
      </c>
      <c r="R20" s="179">
        <v>3500</v>
      </c>
      <c r="S20" s="35">
        <f t="shared" si="5"/>
        <v>12284</v>
      </c>
      <c r="T20" s="26"/>
      <c r="U20" s="7">
        <v>16000</v>
      </c>
      <c r="V20" s="57"/>
    </row>
    <row r="21" spans="1:28" x14ac:dyDescent="0.2">
      <c r="A21" s="57" t="s">
        <v>38</v>
      </c>
      <c r="F21" s="7">
        <v>21017</v>
      </c>
      <c r="G21" s="7">
        <v>213</v>
      </c>
      <c r="H21" s="41"/>
      <c r="I21" s="7">
        <v>0</v>
      </c>
      <c r="J21" s="7">
        <v>0</v>
      </c>
      <c r="K21" s="7">
        <v>0</v>
      </c>
      <c r="L21" s="7">
        <v>1098</v>
      </c>
      <c r="M21" s="35">
        <f t="shared" si="4"/>
        <v>1098</v>
      </c>
      <c r="N21" s="26"/>
      <c r="O21" s="7">
        <v>904</v>
      </c>
      <c r="P21" s="7">
        <v>250</v>
      </c>
      <c r="Q21" s="7">
        <v>250</v>
      </c>
      <c r="R21" s="7">
        <v>500</v>
      </c>
      <c r="S21" s="35">
        <f t="shared" si="5"/>
        <v>1904</v>
      </c>
      <c r="T21" s="26"/>
      <c r="U21" s="7">
        <v>2000</v>
      </c>
      <c r="V21" s="57"/>
    </row>
    <row r="22" spans="1:28" x14ac:dyDescent="0.2">
      <c r="A22" s="57" t="s">
        <v>20</v>
      </c>
      <c r="F22" s="7">
        <v>24459</v>
      </c>
      <c r="G22" s="7">
        <v>41546</v>
      </c>
      <c r="H22" s="41"/>
      <c r="I22" s="7">
        <v>12216</v>
      </c>
      <c r="J22" s="7">
        <v>14823</v>
      </c>
      <c r="K22" s="7">
        <v>19129</v>
      </c>
      <c r="L22" s="7">
        <v>17781</v>
      </c>
      <c r="M22" s="35">
        <f t="shared" si="4"/>
        <v>63949</v>
      </c>
      <c r="N22" s="26"/>
      <c r="O22" s="7">
        <v>17090</v>
      </c>
      <c r="P22" s="7">
        <f>P52*13.5*91/1000</f>
        <v>20884.5</v>
      </c>
      <c r="Q22" s="7">
        <f>Q52*13.5*92/1000</f>
        <v>22977</v>
      </c>
      <c r="R22" s="7">
        <f>R52*13.5*92/1000</f>
        <v>25167.887999999999</v>
      </c>
      <c r="S22" s="35">
        <f t="shared" si="5"/>
        <v>86119.388000000006</v>
      </c>
      <c r="T22" s="26"/>
      <c r="U22" s="7">
        <f>U52*13.5*365/1000</f>
        <v>111361.5</v>
      </c>
      <c r="V22" s="57" t="s">
        <v>117</v>
      </c>
    </row>
    <row r="23" spans="1:28" x14ac:dyDescent="0.2">
      <c r="A23" s="57" t="s">
        <v>47</v>
      </c>
      <c r="F23" s="7">
        <v>0</v>
      </c>
      <c r="G23" s="7">
        <v>0</v>
      </c>
      <c r="H23" s="41"/>
      <c r="I23" s="7">
        <v>0</v>
      </c>
      <c r="J23" s="7">
        <v>0</v>
      </c>
      <c r="K23" s="7">
        <v>0</v>
      </c>
      <c r="L23" s="7">
        <v>0</v>
      </c>
      <c r="M23" s="35">
        <f t="shared" si="4"/>
        <v>0</v>
      </c>
      <c r="N23" s="26"/>
      <c r="O23" s="7">
        <v>0</v>
      </c>
      <c r="P23" s="7">
        <v>0</v>
      </c>
      <c r="Q23" s="7">
        <v>0</v>
      </c>
      <c r="R23" s="7">
        <v>0</v>
      </c>
      <c r="S23" s="35">
        <f t="shared" si="5"/>
        <v>0</v>
      </c>
      <c r="T23" s="26"/>
      <c r="U23" s="7">
        <v>0</v>
      </c>
      <c r="V23" s="106"/>
      <c r="W23" s="106"/>
      <c r="X23" s="106"/>
      <c r="Y23" s="106"/>
      <c r="Z23" s="106"/>
    </row>
    <row r="24" spans="1:28" x14ac:dyDescent="0.2">
      <c r="A24" s="57" t="s">
        <v>48</v>
      </c>
      <c r="F24" s="194">
        <v>0</v>
      </c>
      <c r="G24" s="7">
        <v>0</v>
      </c>
      <c r="H24" s="41"/>
      <c r="I24" s="7">
        <v>-208</v>
      </c>
      <c r="J24" s="7">
        <v>-312</v>
      </c>
      <c r="K24" s="7">
        <v>-4682</v>
      </c>
      <c r="L24" s="7">
        <v>-312</v>
      </c>
      <c r="M24" s="35">
        <f t="shared" si="4"/>
        <v>-5514</v>
      </c>
      <c r="N24" s="26"/>
      <c r="O24" s="7">
        <v>-180</v>
      </c>
      <c r="P24" s="7">
        <v>0</v>
      </c>
      <c r="Q24" s="7">
        <v>0</v>
      </c>
      <c r="R24" s="7">
        <v>0</v>
      </c>
      <c r="S24" s="35">
        <f t="shared" si="5"/>
        <v>-180</v>
      </c>
      <c r="T24" s="26"/>
      <c r="U24" s="7">
        <v>0</v>
      </c>
      <c r="V24" s="4"/>
      <c r="W24" s="4"/>
      <c r="X24" s="4"/>
      <c r="Y24" s="106"/>
    </row>
    <row r="25" spans="1:28" x14ac:dyDescent="0.2">
      <c r="A25" s="57" t="s">
        <v>39</v>
      </c>
      <c r="F25" s="7">
        <v>43</v>
      </c>
      <c r="G25" s="7">
        <v>400</v>
      </c>
      <c r="H25" s="41"/>
      <c r="I25" s="7">
        <v>103</v>
      </c>
      <c r="J25" s="7">
        <v>24</v>
      </c>
      <c r="K25" s="7">
        <v>0</v>
      </c>
      <c r="L25" s="7">
        <v>0</v>
      </c>
      <c r="M25" s="35">
        <f t="shared" si="4"/>
        <v>127</v>
      </c>
      <c r="N25" s="26"/>
      <c r="O25" s="7">
        <v>161</v>
      </c>
      <c r="P25" s="7">
        <v>0</v>
      </c>
      <c r="Q25" s="7">
        <v>0</v>
      </c>
      <c r="R25" s="7">
        <v>0</v>
      </c>
      <c r="S25" s="35">
        <f t="shared" si="5"/>
        <v>161</v>
      </c>
      <c r="T25" s="26"/>
      <c r="U25" s="7">
        <v>0</v>
      </c>
      <c r="V25" s="4"/>
      <c r="W25" s="4"/>
      <c r="X25" s="4"/>
      <c r="Y25" s="106"/>
    </row>
    <row r="26" spans="1:28" x14ac:dyDescent="0.2">
      <c r="A26" s="57" t="s">
        <v>118</v>
      </c>
      <c r="F26" s="7">
        <v>0</v>
      </c>
      <c r="G26" s="7">
        <v>0</v>
      </c>
      <c r="H26" s="41"/>
      <c r="I26" s="7">
        <v>0</v>
      </c>
      <c r="J26" s="7">
        <v>0</v>
      </c>
      <c r="K26" s="7">
        <v>0</v>
      </c>
      <c r="L26" s="7">
        <v>0</v>
      </c>
      <c r="M26" s="35">
        <f t="shared" si="4"/>
        <v>0</v>
      </c>
      <c r="N26" s="26"/>
      <c r="O26" s="7">
        <v>0</v>
      </c>
      <c r="P26" s="7">
        <v>0</v>
      </c>
      <c r="Q26" s="7">
        <v>0</v>
      </c>
      <c r="R26" s="7">
        <v>0</v>
      </c>
      <c r="S26" s="35">
        <f t="shared" si="5"/>
        <v>0</v>
      </c>
      <c r="T26" s="26"/>
      <c r="U26" s="7">
        <v>0</v>
      </c>
      <c r="V26" s="57"/>
    </row>
    <row r="27" spans="1:28" x14ac:dyDescent="0.2">
      <c r="A27" s="57" t="s">
        <v>49</v>
      </c>
      <c r="F27" s="7">
        <v>1</v>
      </c>
      <c r="G27" s="7">
        <v>-3</v>
      </c>
      <c r="H27" s="41"/>
      <c r="I27" s="7">
        <v>-8</v>
      </c>
      <c r="J27" s="7">
        <v>16</v>
      </c>
      <c r="K27" s="7">
        <v>-23</v>
      </c>
      <c r="L27" s="7">
        <v>12</v>
      </c>
      <c r="M27" s="35">
        <f t="shared" si="4"/>
        <v>-3</v>
      </c>
      <c r="N27" s="26"/>
      <c r="O27" s="7">
        <v>12</v>
      </c>
      <c r="P27" s="7">
        <v>0</v>
      </c>
      <c r="Q27" s="7">
        <v>0</v>
      </c>
      <c r="R27" s="7">
        <v>0</v>
      </c>
      <c r="S27" s="35">
        <f t="shared" si="5"/>
        <v>12</v>
      </c>
      <c r="T27" s="26"/>
      <c r="U27" s="7">
        <v>0</v>
      </c>
      <c r="V27" s="57"/>
    </row>
    <row r="28" spans="1:28" x14ac:dyDescent="0.2">
      <c r="A28" s="57" t="s">
        <v>50</v>
      </c>
      <c r="F28" s="7">
        <v>6</v>
      </c>
      <c r="G28" s="7">
        <v>-25</v>
      </c>
      <c r="H28" s="41"/>
      <c r="I28" s="7">
        <v>9</v>
      </c>
      <c r="J28" s="7">
        <v>7</v>
      </c>
      <c r="K28" s="7">
        <v>10</v>
      </c>
      <c r="L28" s="7">
        <v>-8</v>
      </c>
      <c r="M28" s="35">
        <f t="shared" si="4"/>
        <v>18</v>
      </c>
      <c r="N28" s="26"/>
      <c r="O28" s="7">
        <v>-1</v>
      </c>
      <c r="P28" s="7">
        <v>0</v>
      </c>
      <c r="Q28" s="7">
        <v>0</v>
      </c>
      <c r="R28" s="7">
        <v>0</v>
      </c>
      <c r="S28" s="35">
        <f t="shared" si="5"/>
        <v>-1</v>
      </c>
      <c r="T28" s="26"/>
      <c r="U28" s="7">
        <v>0</v>
      </c>
      <c r="V28" s="57"/>
    </row>
    <row r="29" spans="1:28" x14ac:dyDescent="0.2">
      <c r="A29" t="s">
        <v>21</v>
      </c>
      <c r="F29" s="8"/>
      <c r="G29" s="8"/>
      <c r="H29" s="42"/>
      <c r="I29" s="8"/>
      <c r="J29" s="8"/>
      <c r="K29" s="8"/>
      <c r="L29" s="8"/>
      <c r="M29" s="36"/>
      <c r="N29" s="27"/>
      <c r="O29" s="8"/>
      <c r="P29" s="8"/>
      <c r="Q29" s="8"/>
      <c r="R29" s="8"/>
      <c r="S29" s="36"/>
      <c r="T29" s="27"/>
      <c r="U29" s="8"/>
    </row>
    <row r="30" spans="1:28" x14ac:dyDescent="0.2">
      <c r="A30" t="s">
        <v>2</v>
      </c>
      <c r="F30" s="7">
        <f>SUM(F16:F29)</f>
        <v>103156</v>
      </c>
      <c r="G30" s="7">
        <f>SUM(G16:G29)</f>
        <v>100372</v>
      </c>
      <c r="H30" s="41"/>
      <c r="I30" s="7">
        <f>SUM(I16:I29)</f>
        <v>28565</v>
      </c>
      <c r="J30" s="7">
        <f>SUM(J16:J29)</f>
        <v>31875</v>
      </c>
      <c r="K30" s="7">
        <f>SUM(K16:K29)</f>
        <v>35739</v>
      </c>
      <c r="L30" s="7">
        <f>SUM(L16:L29)</f>
        <v>38732</v>
      </c>
      <c r="M30" s="7">
        <f>SUM(M16:M29)</f>
        <v>134911</v>
      </c>
      <c r="N30" s="26"/>
      <c r="O30" s="7">
        <f>SUM(O16:O29)</f>
        <v>38006</v>
      </c>
      <c r="P30" s="7">
        <f>SUM(P16:P29)</f>
        <v>44556.2</v>
      </c>
      <c r="Q30" s="7">
        <f>SUM(Q16:Q29)</f>
        <v>48619.199999999997</v>
      </c>
      <c r="R30" s="7">
        <f>SUM(R16:R29)</f>
        <v>53861.484799999998</v>
      </c>
      <c r="S30" s="7">
        <f>SUM(S16:S29)</f>
        <v>185042.8848</v>
      </c>
      <c r="T30" s="26"/>
      <c r="U30" s="7">
        <f>SUM(U16:U29)</f>
        <v>236925.4</v>
      </c>
      <c r="V30" s="1"/>
    </row>
    <row r="31" spans="1:28" x14ac:dyDescent="0.2">
      <c r="F31" s="7"/>
      <c r="G31" s="7"/>
      <c r="H31" s="41"/>
      <c r="I31" s="7"/>
      <c r="J31" s="7"/>
      <c r="K31" s="7"/>
      <c r="L31" s="7"/>
      <c r="M31" s="35"/>
      <c r="N31" s="26"/>
      <c r="O31" s="7"/>
      <c r="P31" s="7"/>
      <c r="Q31" s="7"/>
      <c r="R31" s="7"/>
      <c r="S31" s="35"/>
      <c r="T31" s="26"/>
      <c r="U31" s="7"/>
    </row>
    <row r="32" spans="1:28" x14ac:dyDescent="0.2">
      <c r="A32" s="57" t="s">
        <v>40</v>
      </c>
      <c r="F32" s="9">
        <f>F14-F30</f>
        <v>-30438</v>
      </c>
      <c r="G32" s="9">
        <f>G14-G30</f>
        <v>7398</v>
      </c>
      <c r="H32" s="41"/>
      <c r="I32" s="9">
        <f>I14-I30</f>
        <v>-278</v>
      </c>
      <c r="J32" s="9">
        <f>J14-J30</f>
        <v>20986</v>
      </c>
      <c r="K32" s="9">
        <f>K14-K30</f>
        <v>12428</v>
      </c>
      <c r="L32" s="9">
        <f>L14-L30</f>
        <v>15532</v>
      </c>
      <c r="M32" s="9">
        <f>M14-M30</f>
        <v>48668</v>
      </c>
      <c r="N32" s="28"/>
      <c r="O32" s="9">
        <f>O14-O30</f>
        <v>-12101</v>
      </c>
      <c r="P32" s="9">
        <f>P14-P30</f>
        <v>7666.1210112957706</v>
      </c>
      <c r="Q32" s="9">
        <f>Q14-Q30</f>
        <v>23828.091132887334</v>
      </c>
      <c r="R32" s="9">
        <f>R14-R30</f>
        <v>35152.473236076614</v>
      </c>
      <c r="S32" s="9">
        <f>S14-S30</f>
        <v>54545.685380259703</v>
      </c>
      <c r="T32" s="28"/>
      <c r="U32" s="9">
        <f>U14-U30</f>
        <v>171214.43492281696</v>
      </c>
      <c r="V32" s="1"/>
      <c r="W32" s="1"/>
      <c r="X32" s="1"/>
      <c r="Y32" s="1"/>
      <c r="Z32" s="1"/>
      <c r="AA32" s="1"/>
      <c r="AB32" s="1"/>
    </row>
    <row r="33" spans="1:36" x14ac:dyDescent="0.2">
      <c r="F33" s="7"/>
      <c r="G33" s="7"/>
      <c r="H33" s="41"/>
      <c r="I33" s="7"/>
      <c r="J33" s="7"/>
      <c r="K33" s="7"/>
      <c r="L33" s="7"/>
      <c r="M33" s="35"/>
      <c r="N33" s="26"/>
      <c r="O33" s="7"/>
      <c r="P33" s="7"/>
      <c r="Q33" s="7"/>
      <c r="R33" s="7"/>
      <c r="S33" s="35"/>
      <c r="T33" s="26"/>
      <c r="U33" s="7"/>
      <c r="V33" s="1"/>
      <c r="W33" s="1"/>
      <c r="X33" s="1"/>
      <c r="Y33" s="1"/>
      <c r="Z33" s="1"/>
      <c r="AA33" s="1"/>
      <c r="AB33" s="1"/>
    </row>
    <row r="34" spans="1:36" x14ac:dyDescent="0.2">
      <c r="A34" t="s">
        <v>3</v>
      </c>
      <c r="F34" s="7"/>
      <c r="G34" s="7"/>
      <c r="H34" s="41"/>
      <c r="I34" s="7"/>
      <c r="J34" s="7"/>
      <c r="K34" s="7"/>
      <c r="L34" s="7"/>
      <c r="M34" s="35"/>
      <c r="N34" s="26"/>
      <c r="O34" s="7"/>
      <c r="P34" s="7"/>
      <c r="Q34" s="7"/>
      <c r="R34" s="7"/>
      <c r="S34" s="35"/>
      <c r="T34" s="26"/>
      <c r="U34" s="7"/>
    </row>
    <row r="35" spans="1:36" x14ac:dyDescent="0.2">
      <c r="A35" t="s">
        <v>4</v>
      </c>
      <c r="F35" s="7">
        <v>0</v>
      </c>
      <c r="G35" s="7">
        <v>0</v>
      </c>
      <c r="H35" s="41"/>
      <c r="I35" s="7">
        <v>0</v>
      </c>
      <c r="J35" s="7">
        <v>0</v>
      </c>
      <c r="K35" s="7">
        <v>0</v>
      </c>
      <c r="L35" s="7">
        <v>0</v>
      </c>
      <c r="M35" s="35">
        <f>SUM(I35:L35)</f>
        <v>0</v>
      </c>
      <c r="N35" s="26"/>
      <c r="O35" s="7">
        <v>0</v>
      </c>
      <c r="P35" s="7">
        <v>0</v>
      </c>
      <c r="Q35" s="7">
        <v>0</v>
      </c>
      <c r="R35" s="7">
        <v>0</v>
      </c>
      <c r="S35" s="35">
        <f>SUM(O35:R35)</f>
        <v>0</v>
      </c>
      <c r="T35" s="26"/>
      <c r="U35" s="7">
        <v>0</v>
      </c>
      <c r="V35" s="57" t="s">
        <v>119</v>
      </c>
    </row>
    <row r="36" spans="1:36" x14ac:dyDescent="0.2">
      <c r="A36" t="s">
        <v>5</v>
      </c>
      <c r="F36" s="7">
        <v>3361</v>
      </c>
      <c r="G36" s="7">
        <v>2843</v>
      </c>
      <c r="H36" s="41"/>
      <c r="I36" s="7">
        <v>116</v>
      </c>
      <c r="J36" s="7">
        <v>3675</v>
      </c>
      <c r="K36" s="7">
        <v>3238</v>
      </c>
      <c r="L36" s="7">
        <v>3861</v>
      </c>
      <c r="M36" s="35">
        <f>SUM(I36:L36)</f>
        <v>10890</v>
      </c>
      <c r="N36" s="26"/>
      <c r="O36" s="7">
        <v>-2541</v>
      </c>
      <c r="P36" s="7">
        <f t="shared" ref="P36:R36" si="6">P32*0.25</f>
        <v>1916.5302528239426</v>
      </c>
      <c r="Q36" s="7">
        <f t="shared" si="6"/>
        <v>5957.0227832218334</v>
      </c>
      <c r="R36" s="7">
        <f t="shared" si="6"/>
        <v>8788.1183090191535</v>
      </c>
      <c r="S36" s="35">
        <f>SUM(O36:R36)</f>
        <v>14120.671345064929</v>
      </c>
      <c r="T36" s="26"/>
      <c r="U36" s="7">
        <f>U32*0.25</f>
        <v>42803.60873070424</v>
      </c>
      <c r="V36" s="57" t="s">
        <v>73</v>
      </c>
    </row>
    <row r="37" spans="1:36" x14ac:dyDescent="0.2">
      <c r="F37" s="7"/>
      <c r="G37" s="7"/>
      <c r="H37" s="41"/>
      <c r="I37" s="7"/>
      <c r="J37" s="7"/>
      <c r="K37" s="7"/>
      <c r="L37" s="7"/>
      <c r="M37" s="35"/>
      <c r="N37" s="26"/>
      <c r="O37" s="7"/>
      <c r="P37" s="7"/>
      <c r="Q37" s="7"/>
      <c r="R37" s="7"/>
      <c r="S37" s="35"/>
      <c r="T37" s="26"/>
      <c r="U37" s="7"/>
      <c r="V37" s="3"/>
      <c r="W37" s="3"/>
      <c r="X37" s="3"/>
      <c r="Y37" s="3"/>
      <c r="Z37" s="131" t="s">
        <v>30</v>
      </c>
      <c r="AB37" s="131" t="s">
        <v>74</v>
      </c>
      <c r="AC37" s="3"/>
      <c r="AD37" s="131" t="s">
        <v>122</v>
      </c>
      <c r="AE37" s="3"/>
    </row>
    <row r="38" spans="1:36" x14ac:dyDescent="0.2">
      <c r="A38" s="57" t="s">
        <v>24</v>
      </c>
      <c r="F38" s="15">
        <f>F32-F35-F36</f>
        <v>-33799</v>
      </c>
      <c r="G38" s="15">
        <f>G32-G35-G36</f>
        <v>4555</v>
      </c>
      <c r="H38" s="43"/>
      <c r="I38" s="15">
        <f>I32-I35-I36</f>
        <v>-394</v>
      </c>
      <c r="J38" s="15">
        <f>J32-J35-J36</f>
        <v>17311</v>
      </c>
      <c r="K38" s="15">
        <f>K32-K35-K36</f>
        <v>9190</v>
      </c>
      <c r="L38" s="15">
        <f>L32-L35-L36</f>
        <v>11671</v>
      </c>
      <c r="M38" s="15">
        <f>M32-M35-M36</f>
        <v>37778</v>
      </c>
      <c r="N38" s="29"/>
      <c r="O38" s="15">
        <f>O32-O35-O36</f>
        <v>-9560</v>
      </c>
      <c r="P38" s="15">
        <f>P32-P35-P36</f>
        <v>5749.5907584718279</v>
      </c>
      <c r="Q38" s="15">
        <f>Q32-Q35-Q36</f>
        <v>17871.0683496655</v>
      </c>
      <c r="R38" s="15">
        <f>R32-R35-R36</f>
        <v>26364.354927057459</v>
      </c>
      <c r="S38" s="15">
        <f>S32-S35-S36</f>
        <v>40425.014035194778</v>
      </c>
      <c r="T38" s="29"/>
      <c r="U38" s="15">
        <f>U32-U35-U36</f>
        <v>128410.82619211273</v>
      </c>
      <c r="V38" s="57"/>
      <c r="Z38" s="131" t="s">
        <v>31</v>
      </c>
      <c r="AB38" s="131" t="s">
        <v>31</v>
      </c>
      <c r="AD38" s="131" t="s">
        <v>31</v>
      </c>
    </row>
    <row r="39" spans="1:36" ht="13.5" thickBot="1" x14ac:dyDescent="0.25">
      <c r="F39" s="7"/>
      <c r="G39" s="7"/>
      <c r="H39" s="41"/>
      <c r="I39" s="7"/>
      <c r="J39" s="7"/>
      <c r="K39" s="7"/>
      <c r="L39" s="7"/>
      <c r="M39" s="35"/>
      <c r="N39" s="26"/>
      <c r="O39" s="7"/>
      <c r="P39" s="7"/>
      <c r="Q39" s="7"/>
      <c r="R39" s="7"/>
      <c r="S39" s="35"/>
      <c r="T39" s="26"/>
      <c r="U39" s="7"/>
      <c r="V39" s="57"/>
      <c r="W39" s="57"/>
      <c r="X39" s="57"/>
      <c r="Y39" s="57"/>
      <c r="Z39" s="132">
        <f>M38-M13+M20+M22+M24+M36</f>
        <v>107129</v>
      </c>
      <c r="AB39" s="132">
        <f>S38-S13+S20+S22+S24+S36</f>
        <v>170163.07338025974</v>
      </c>
      <c r="AD39" s="132">
        <f>U38-U13+U20+U22+U24+U36</f>
        <v>298575.93492281699</v>
      </c>
    </row>
    <row r="40" spans="1:36" x14ac:dyDescent="0.2">
      <c r="A40" s="57" t="s">
        <v>42</v>
      </c>
      <c r="F40" s="10">
        <v>465537</v>
      </c>
      <c r="G40" s="10">
        <v>595675</v>
      </c>
      <c r="H40" s="44"/>
      <c r="I40" s="10">
        <v>595675</v>
      </c>
      <c r="J40" s="10">
        <v>595675</v>
      </c>
      <c r="K40" s="10">
        <v>595675</v>
      </c>
      <c r="L40" s="10">
        <v>595675</v>
      </c>
      <c r="M40" s="10">
        <v>595675</v>
      </c>
      <c r="N40" s="30"/>
      <c r="O40" s="10">
        <v>691576</v>
      </c>
      <c r="P40" s="10">
        <v>691576</v>
      </c>
      <c r="Q40" s="10">
        <v>691576</v>
      </c>
      <c r="R40" s="10">
        <v>691576</v>
      </c>
      <c r="S40" s="10">
        <v>691576</v>
      </c>
      <c r="T40" s="30"/>
      <c r="U40" s="10">
        <v>700000</v>
      </c>
      <c r="V40" s="148" t="s">
        <v>86</v>
      </c>
      <c r="W40" s="149"/>
      <c r="X40" s="149"/>
      <c r="Z40" s="57"/>
      <c r="AA40" s="57"/>
      <c r="AB40" s="57"/>
      <c r="AC40" s="57"/>
    </row>
    <row r="41" spans="1:36" ht="13.5" thickBot="1" x14ac:dyDescent="0.25">
      <c r="A41" s="2" t="s">
        <v>9</v>
      </c>
      <c r="B41" s="2"/>
      <c r="C41" s="2"/>
      <c r="D41" s="2"/>
      <c r="E41" s="2"/>
      <c r="F41" s="13">
        <f>F38/F40</f>
        <v>-7.2602177700161322E-2</v>
      </c>
      <c r="G41" s="13">
        <f>G38/G40</f>
        <v>7.6467872581525162E-3</v>
      </c>
      <c r="H41" s="45"/>
      <c r="I41" s="13">
        <f>I38/I40</f>
        <v>-6.6143450707180926E-4</v>
      </c>
      <c r="J41" s="13">
        <f>J38/J40</f>
        <v>2.9061149116548453E-2</v>
      </c>
      <c r="K41" s="13">
        <f>K38/K40</f>
        <v>1.5427875939060729E-2</v>
      </c>
      <c r="L41" s="13">
        <f>L38/L40</f>
        <v>1.9592898812271792E-2</v>
      </c>
      <c r="M41" s="50">
        <f>M38/M40</f>
        <v>6.3420489360809171E-2</v>
      </c>
      <c r="N41" s="31"/>
      <c r="O41" s="13">
        <f>O38/O40</f>
        <v>-1.3823498791166842E-2</v>
      </c>
      <c r="P41" s="13">
        <f>P38/P40</f>
        <v>8.3137511401087192E-3</v>
      </c>
      <c r="Q41" s="13">
        <f>Q38/Q40</f>
        <v>2.5841076540634E-2</v>
      </c>
      <c r="R41" s="13">
        <f>R38/R40</f>
        <v>3.8122136868626817E-2</v>
      </c>
      <c r="S41" s="50">
        <f>S38/S40</f>
        <v>5.8453465758202684E-2</v>
      </c>
      <c r="T41" s="31"/>
      <c r="U41" s="13">
        <f>U38/U40</f>
        <v>0.18344403741730389</v>
      </c>
      <c r="V41" s="57" t="s">
        <v>19</v>
      </c>
      <c r="W41" s="94"/>
      <c r="X41" s="94"/>
      <c r="Y41" s="94"/>
      <c r="Z41" s="57"/>
      <c r="AA41" s="57"/>
      <c r="AB41" s="57"/>
      <c r="AC41" s="57"/>
    </row>
    <row r="42" spans="1:36" x14ac:dyDescent="0.2">
      <c r="A42" s="3" t="s">
        <v>15</v>
      </c>
      <c r="B42" s="3"/>
      <c r="C42" s="3"/>
      <c r="D42" s="3"/>
      <c r="E42" s="4"/>
      <c r="F42" s="12"/>
      <c r="G42" s="12"/>
      <c r="H42" s="46"/>
      <c r="I42" s="12"/>
      <c r="J42" s="12"/>
      <c r="K42" s="12"/>
      <c r="L42" s="12"/>
      <c r="M42" s="142"/>
      <c r="N42" s="32"/>
      <c r="O42" s="175">
        <v>-0.01</v>
      </c>
      <c r="P42" s="146" t="s">
        <v>60</v>
      </c>
      <c r="Q42" s="146" t="s">
        <v>60</v>
      </c>
      <c r="R42" s="146" t="s">
        <v>60</v>
      </c>
      <c r="S42" s="70">
        <v>7.0000000000000007E-2</v>
      </c>
      <c r="T42" s="32"/>
      <c r="U42" s="180">
        <v>0.13</v>
      </c>
      <c r="V42" s="92" t="s">
        <v>43</v>
      </c>
      <c r="W42" s="91"/>
      <c r="X42" s="91"/>
      <c r="Y42" s="57"/>
      <c r="Z42" s="57"/>
      <c r="AA42" s="57"/>
      <c r="AB42" s="57"/>
      <c r="AC42" s="57"/>
      <c r="AD42" s="57"/>
      <c r="AE42" s="57"/>
      <c r="AF42" s="57"/>
    </row>
    <row r="43" spans="1:36" x14ac:dyDescent="0.2">
      <c r="A43" s="20"/>
      <c r="B43" s="20"/>
      <c r="C43" s="20"/>
      <c r="D43" s="20"/>
      <c r="E43" s="20"/>
      <c r="F43" s="126"/>
      <c r="G43" s="126"/>
      <c r="H43" s="127"/>
      <c r="I43" s="126"/>
      <c r="J43" s="126"/>
      <c r="K43" s="126"/>
      <c r="L43" s="126"/>
      <c r="M43" s="126"/>
      <c r="N43" s="128"/>
      <c r="O43" s="126"/>
      <c r="P43" s="126"/>
      <c r="Q43" s="126"/>
      <c r="R43" s="126"/>
      <c r="S43" s="126"/>
      <c r="T43" s="128"/>
      <c r="U43" s="126"/>
      <c r="V43" s="117"/>
      <c r="W43" s="106"/>
      <c r="X43" s="106"/>
      <c r="Y43" s="106"/>
      <c r="AB43" s="63"/>
      <c r="AC43" s="63"/>
    </row>
    <row r="44" spans="1:36" x14ac:dyDescent="0.2">
      <c r="A44" s="57" t="s">
        <v>41</v>
      </c>
      <c r="D44" s="20"/>
      <c r="F44" s="15">
        <f>F38-F13+F19-F20+F21+F22+F28+F36-388</f>
        <v>29304</v>
      </c>
      <c r="G44" s="15">
        <f>G38-G13+G19+G20+G21+G22+G28+G36-620</f>
        <v>52519</v>
      </c>
      <c r="H44" s="43"/>
      <c r="I44" s="15">
        <f>I38-I13+I19+I21+I22+I28+I36-633</f>
        <v>15880</v>
      </c>
      <c r="J44" s="15">
        <f>J38-J13+J19+J21+J22+J28+J36+1</f>
        <v>27146</v>
      </c>
      <c r="K44" s="15">
        <f>K38-K13+K19+K21+K22+K28+K36+931</f>
        <v>31179</v>
      </c>
      <c r="L44" s="15">
        <f>L38-L13+L19+L21+L22+L28+L36-441</f>
        <v>35927</v>
      </c>
      <c r="M44" s="15">
        <f>SUM(I44:L44)</f>
        <v>110132</v>
      </c>
      <c r="N44" s="25"/>
      <c r="O44" s="15">
        <f>O38-O13+O19+O21+O22+O28+O36+439</f>
        <v>24778</v>
      </c>
      <c r="P44" s="15">
        <f t="shared" ref="O44:R44" si="7">P38-P13+P19+P21+P22+P28+P36</f>
        <v>30050.621011295771</v>
      </c>
      <c r="Q44" s="15">
        <f>Q38-Q13+Q19+Q21+Q22+Q28+Q36-5000</f>
        <v>43305.091132887334</v>
      </c>
      <c r="R44" s="15">
        <f>R38-R13+R19+R21+R22+R28+R36-2500</f>
        <v>59820.361236076613</v>
      </c>
      <c r="S44" s="15">
        <f>SUM(O44:R44)</f>
        <v>157954.07338025974</v>
      </c>
      <c r="T44" s="25"/>
      <c r="U44" s="15">
        <f>U38-U13+U19+U21+U22+U28+U36-10000</f>
        <v>280575.93492281699</v>
      </c>
      <c r="V44" s="164" t="s">
        <v>111</v>
      </c>
      <c r="W44" s="90"/>
      <c r="X44" s="90"/>
      <c r="Y44" s="90"/>
    </row>
    <row r="45" spans="1:36" x14ac:dyDescent="0.2">
      <c r="A45" t="s">
        <v>16</v>
      </c>
      <c r="D45" s="129"/>
      <c r="E45" s="129"/>
      <c r="F45" s="75">
        <f>F44/(F40+F43)</f>
        <v>6.2946661597252207E-2</v>
      </c>
      <c r="G45" s="75">
        <f>G44/(G40+G43)</f>
        <v>8.8167205271330845E-2</v>
      </c>
      <c r="H45" s="76"/>
      <c r="I45" s="75">
        <f>I44/(I40+I43)</f>
        <v>2.6658832417005916E-2</v>
      </c>
      <c r="J45" s="75">
        <f>J44/(J40+J43)</f>
        <v>4.5571830276576991E-2</v>
      </c>
      <c r="K45" s="75">
        <f>K44/(K40+K43)</f>
        <v>5.2342300751248585E-2</v>
      </c>
      <c r="L45" s="75">
        <f>L44/(L40+L43)</f>
        <v>6.0313090191799222E-2</v>
      </c>
      <c r="M45" s="75">
        <f>M44/(M40+M43)</f>
        <v>0.18488605363663072</v>
      </c>
      <c r="N45" s="77"/>
      <c r="O45" s="75">
        <f>O44/(O40+O43)</f>
        <v>3.5828310988235565E-2</v>
      </c>
      <c r="P45" s="75">
        <f>P44/(P40+P43)</f>
        <v>4.3452376906219663E-2</v>
      </c>
      <c r="Q45" s="75">
        <f>Q44/(Q40+Q43)</f>
        <v>6.2617978548832429E-2</v>
      </c>
      <c r="R45" s="75">
        <f>R44/(R40+R43)</f>
        <v>8.6498607869672478E-2</v>
      </c>
      <c r="S45" s="75">
        <f>S44/(S40+S43)</f>
        <v>0.22839727431296017</v>
      </c>
      <c r="T45" s="77"/>
      <c r="U45" s="75">
        <f>U44/(U40+U43)</f>
        <v>0.40082276417545282</v>
      </c>
      <c r="V45" s="81" t="s">
        <v>121</v>
      </c>
      <c r="W45" s="21"/>
      <c r="X45" s="21"/>
      <c r="Y45" s="21"/>
      <c r="Z45" s="22">
        <f>(M45+S45+S45+U45)/4*5</f>
        <v>1.3031292080475048</v>
      </c>
      <c r="AA45" s="101" t="s">
        <v>45</v>
      </c>
      <c r="AB45" s="101"/>
      <c r="AC45" s="95"/>
      <c r="AD45" s="101"/>
      <c r="AE45" s="102"/>
      <c r="AF45" s="3"/>
      <c r="AG45" s="3"/>
      <c r="AH45" s="3"/>
      <c r="AI45" s="3"/>
      <c r="AJ45" s="20"/>
    </row>
    <row r="46" spans="1:36" x14ac:dyDescent="0.2">
      <c r="F46" s="12"/>
      <c r="G46" s="12"/>
      <c r="H46" s="46"/>
      <c r="I46" s="88"/>
      <c r="J46" s="133"/>
      <c r="K46" s="88"/>
      <c r="L46" s="133"/>
      <c r="M46" s="142"/>
      <c r="N46" s="32"/>
      <c r="O46" s="88"/>
      <c r="P46" s="133"/>
      <c r="Q46" s="88"/>
      <c r="R46" s="133"/>
      <c r="S46" s="142"/>
      <c r="T46" s="32"/>
      <c r="U46" s="88"/>
      <c r="V46" s="68"/>
      <c r="W46" s="57"/>
      <c r="X46" s="101" t="s">
        <v>66</v>
      </c>
      <c r="Y46" s="93" t="s">
        <v>120</v>
      </c>
      <c r="Z46" s="120">
        <f>Z45*0.71</f>
        <v>0.92522173771372829</v>
      </c>
      <c r="AA46" s="101" t="s">
        <v>90</v>
      </c>
      <c r="AB46" s="101"/>
      <c r="AD46" s="103"/>
      <c r="AE46" s="3"/>
      <c r="AF46" s="3"/>
      <c r="AG46" s="3"/>
      <c r="AH46" s="3"/>
      <c r="AI46" s="3"/>
      <c r="AJ46" s="20"/>
    </row>
    <row r="47" spans="1:36" x14ac:dyDescent="0.2">
      <c r="A47" t="s">
        <v>6</v>
      </c>
      <c r="F47" s="56"/>
      <c r="G47" s="56"/>
      <c r="H47" s="41"/>
      <c r="I47" s="69"/>
      <c r="M47" s="49"/>
      <c r="N47" s="54"/>
      <c r="O47" s="69"/>
      <c r="S47" s="49"/>
      <c r="T47" s="54"/>
      <c r="U47" s="7"/>
      <c r="V47" s="186" t="s">
        <v>85</v>
      </c>
      <c r="W47" s="187"/>
      <c r="X47" s="157" t="s">
        <v>88</v>
      </c>
      <c r="Y47" s="165" t="s">
        <v>69</v>
      </c>
      <c r="Z47" s="120">
        <v>0.95</v>
      </c>
      <c r="AA47" s="101" t="s">
        <v>82</v>
      </c>
      <c r="AB47" s="63"/>
      <c r="AD47" s="104"/>
      <c r="AG47" s="57"/>
      <c r="AH47" s="3"/>
      <c r="AI47" s="3"/>
      <c r="AJ47" s="20"/>
    </row>
    <row r="48" spans="1:36" x14ac:dyDescent="0.2">
      <c r="A48" s="57" t="s">
        <v>51</v>
      </c>
      <c r="F48" s="7">
        <v>1325</v>
      </c>
      <c r="G48" s="7">
        <v>2485</v>
      </c>
      <c r="H48" s="41"/>
      <c r="I48" s="67">
        <v>3078</v>
      </c>
      <c r="J48" s="67">
        <v>4510</v>
      </c>
      <c r="K48" s="67">
        <v>5399</v>
      </c>
      <c r="L48" s="67">
        <v>4789</v>
      </c>
      <c r="M48" s="7">
        <f>SUM(I48:L48)/4</f>
        <v>4444</v>
      </c>
      <c r="N48" s="26"/>
      <c r="O48" s="67">
        <v>3911</v>
      </c>
      <c r="P48" s="67">
        <f>P52*0.275</f>
        <v>4675</v>
      </c>
      <c r="Q48" s="67">
        <f>Q52*0.33</f>
        <v>6105</v>
      </c>
      <c r="R48" s="67">
        <f>R52*0.4</f>
        <v>8105.6</v>
      </c>
      <c r="S48" s="7">
        <f>SUM(O48:R48)/4</f>
        <v>5699.15</v>
      </c>
      <c r="T48" s="26"/>
      <c r="U48" s="67">
        <f>U52*0.4</f>
        <v>9040</v>
      </c>
      <c r="V48" s="147" t="s">
        <v>99</v>
      </c>
      <c r="W48" s="63"/>
      <c r="X48" s="63" t="s">
        <v>107</v>
      </c>
      <c r="Y48" s="165" t="s">
        <v>84</v>
      </c>
      <c r="Z48" s="120">
        <v>1.36</v>
      </c>
      <c r="AA48" s="101" t="s">
        <v>45</v>
      </c>
      <c r="AB48" s="3"/>
      <c r="AD48" s="104"/>
    </row>
    <row r="49" spans="1:33" x14ac:dyDescent="0.2">
      <c r="A49" s="57" t="s">
        <v>52</v>
      </c>
      <c r="F49" s="7">
        <v>0</v>
      </c>
      <c r="G49" s="7">
        <v>0</v>
      </c>
      <c r="H49" s="41"/>
      <c r="I49" s="67"/>
      <c r="J49" s="67">
        <v>0</v>
      </c>
      <c r="K49" s="67">
        <v>0</v>
      </c>
      <c r="L49" s="67">
        <v>0</v>
      </c>
      <c r="M49" s="7">
        <f>SUM(I49:L49)/4</f>
        <v>0</v>
      </c>
      <c r="N49" s="26"/>
      <c r="O49" s="67">
        <v>225</v>
      </c>
      <c r="P49" s="67">
        <f>P52*0.016</f>
        <v>272</v>
      </c>
      <c r="Q49" s="67">
        <f>Q52*0.02</f>
        <v>370</v>
      </c>
      <c r="R49" s="67">
        <f>R52*0.025</f>
        <v>506.6</v>
      </c>
      <c r="S49" s="7">
        <f>SUM(O49:R49)/4</f>
        <v>343.4</v>
      </c>
      <c r="T49" s="26"/>
      <c r="U49" s="67">
        <f>U52*0.025</f>
        <v>565</v>
      </c>
      <c r="V49" s="147" t="s">
        <v>100</v>
      </c>
      <c r="W49" s="63"/>
      <c r="X49" s="63" t="s">
        <v>108</v>
      </c>
      <c r="Y49" s="87" t="s">
        <v>98</v>
      </c>
      <c r="Z49" s="84"/>
      <c r="AA49" s="94"/>
      <c r="AB49" s="3"/>
      <c r="AC49" s="57"/>
      <c r="AD49" s="85"/>
      <c r="AE49" s="57"/>
      <c r="AF49" s="57"/>
      <c r="AG49" s="57"/>
    </row>
    <row r="50" spans="1:33" x14ac:dyDescent="0.2">
      <c r="A50" s="57" t="s">
        <v>17</v>
      </c>
      <c r="F50" s="7">
        <v>255</v>
      </c>
      <c r="G50" s="7">
        <v>384</v>
      </c>
      <c r="H50" s="41"/>
      <c r="I50" s="67">
        <v>306</v>
      </c>
      <c r="J50" s="67">
        <v>360</v>
      </c>
      <c r="K50" s="67">
        <v>1065</v>
      </c>
      <c r="L50" s="67">
        <v>1120</v>
      </c>
      <c r="M50" s="7">
        <f>SUM(I50:L50)/4</f>
        <v>712.75</v>
      </c>
      <c r="N50" s="26"/>
      <c r="O50" s="67">
        <v>958</v>
      </c>
      <c r="P50" s="67">
        <f>P52*0.067</f>
        <v>1139</v>
      </c>
      <c r="Q50" s="67">
        <f>Q52*0.065</f>
        <v>1202.5</v>
      </c>
      <c r="R50" s="67">
        <f>R52*0.065</f>
        <v>1317.16</v>
      </c>
      <c r="S50" s="7">
        <f>SUM(O50:R50)/4</f>
        <v>1154.165</v>
      </c>
      <c r="T50" s="26"/>
      <c r="U50" s="67">
        <f>U52*0.065</f>
        <v>1469</v>
      </c>
      <c r="V50" s="147" t="s">
        <v>95</v>
      </c>
      <c r="W50" s="63"/>
      <c r="X50" s="63" t="s">
        <v>109</v>
      </c>
      <c r="AC50" s="57"/>
      <c r="AD50" s="85"/>
      <c r="AE50" s="57"/>
      <c r="AF50" s="57"/>
      <c r="AG50" s="57"/>
    </row>
    <row r="51" spans="1:33" x14ac:dyDescent="0.2">
      <c r="A51" s="57" t="s">
        <v>53</v>
      </c>
      <c r="F51" s="8">
        <v>25370</v>
      </c>
      <c r="G51" s="8">
        <v>33470</v>
      </c>
      <c r="H51" s="42"/>
      <c r="I51" s="82">
        <v>39540</v>
      </c>
      <c r="J51" s="82">
        <v>42857</v>
      </c>
      <c r="K51" s="82">
        <v>51490</v>
      </c>
      <c r="L51" s="82">
        <v>55993</v>
      </c>
      <c r="M51" s="8">
        <f>SUM(I51:L51)/4</f>
        <v>47470</v>
      </c>
      <c r="N51" s="27"/>
      <c r="O51" s="82">
        <v>54855</v>
      </c>
      <c r="P51" s="82">
        <f>P52*0.642*6</f>
        <v>65484</v>
      </c>
      <c r="Q51" s="82">
        <f>Q52*0.585*6</f>
        <v>64935</v>
      </c>
      <c r="R51" s="82">
        <f>R52*0.51*6</f>
        <v>62007.839999999997</v>
      </c>
      <c r="S51" s="8">
        <f>SUM(O51:R51)/4</f>
        <v>61820.46</v>
      </c>
      <c r="T51" s="27"/>
      <c r="U51" s="82">
        <f>U52*0.51*6</f>
        <v>69156</v>
      </c>
      <c r="V51" s="147" t="s">
        <v>96</v>
      </c>
      <c r="W51" s="63"/>
      <c r="X51" s="63" t="s">
        <v>110</v>
      </c>
      <c r="Y51" s="130"/>
      <c r="Z51" s="84"/>
      <c r="AA51" s="93"/>
      <c r="AB51" s="93"/>
      <c r="AC51" s="93"/>
      <c r="AD51" s="85"/>
    </row>
    <row r="52" spans="1:33" x14ac:dyDescent="0.2">
      <c r="D52" s="57" t="s">
        <v>28</v>
      </c>
      <c r="F52" s="9">
        <f>F48+F49+F50+F51/6</f>
        <v>5808.333333333333</v>
      </c>
      <c r="G52" s="9">
        <f>G48+G49+G50+G51/6</f>
        <v>8447.3333333333321</v>
      </c>
      <c r="H52" s="41"/>
      <c r="I52" s="9">
        <f t="shared" ref="I52:L52" si="8">I48+I49+I50+I51/6</f>
        <v>9974</v>
      </c>
      <c r="J52" s="9">
        <f t="shared" si="8"/>
        <v>12012.833333333332</v>
      </c>
      <c r="K52" s="9">
        <f t="shared" si="8"/>
        <v>15045.666666666666</v>
      </c>
      <c r="L52" s="9">
        <f t="shared" si="8"/>
        <v>15241.166666666666</v>
      </c>
      <c r="M52" s="9">
        <f>M48+M49+M50+M51/6</f>
        <v>13068.416666666668</v>
      </c>
      <c r="N52" s="28"/>
      <c r="O52" s="9">
        <f t="shared" ref="O52" si="9">O48+O49+O50+O51/6</f>
        <v>14236.5</v>
      </c>
      <c r="P52" s="9">
        <v>17000</v>
      </c>
      <c r="Q52" s="9">
        <v>18500</v>
      </c>
      <c r="R52" s="9">
        <v>20264</v>
      </c>
      <c r="S52" s="9">
        <f>S48+S49+S50+S51/6</f>
        <v>17500.125</v>
      </c>
      <c r="T52" s="28"/>
      <c r="U52" s="9">
        <v>22600</v>
      </c>
      <c r="V52" s="168" t="s">
        <v>106</v>
      </c>
      <c r="W52" s="168"/>
      <c r="X52" s="168"/>
      <c r="Y52" s="168"/>
      <c r="Z52" s="93"/>
      <c r="AA52" s="93"/>
      <c r="AB52" s="93"/>
      <c r="AC52" s="93"/>
      <c r="AD52" s="93"/>
      <c r="AE52" s="105"/>
    </row>
    <row r="53" spans="1:33" x14ac:dyDescent="0.2">
      <c r="D53" s="57" t="s">
        <v>29</v>
      </c>
      <c r="F53" s="78">
        <v>0</v>
      </c>
      <c r="G53" s="78">
        <f>(G52-F52)/F52</f>
        <v>0.45434720229555225</v>
      </c>
      <c r="H53" s="41"/>
      <c r="I53" s="107"/>
      <c r="J53" s="107"/>
      <c r="K53" s="107"/>
      <c r="L53" s="107"/>
      <c r="M53" s="78">
        <f>(M52-G52)/G52</f>
        <v>0.54704640517717662</v>
      </c>
      <c r="N53" s="28"/>
      <c r="O53" s="107"/>
      <c r="P53" s="107"/>
      <c r="Q53" s="107"/>
      <c r="R53" s="107"/>
      <c r="S53" s="78">
        <f>(S52-M52)/M52</f>
        <v>0.3391159347281294</v>
      </c>
      <c r="T53" s="28"/>
      <c r="U53" s="78">
        <f>(U52-S52)/S52</f>
        <v>0.29141934700466426</v>
      </c>
      <c r="V53" s="79" t="s">
        <v>23</v>
      </c>
      <c r="W53" s="80"/>
      <c r="X53" s="80"/>
      <c r="Y53" s="80"/>
      <c r="Z53" s="3"/>
      <c r="AA53" s="3"/>
      <c r="AB53" s="3"/>
      <c r="AC53" s="3"/>
      <c r="AD53" s="3"/>
    </row>
    <row r="54" spans="1:33" x14ac:dyDescent="0.2">
      <c r="A54" s="57" t="s">
        <v>58</v>
      </c>
      <c r="F54" s="7"/>
      <c r="G54" s="7"/>
      <c r="H54" s="41"/>
      <c r="I54" s="191" t="s">
        <v>61</v>
      </c>
      <c r="J54" s="192"/>
      <c r="K54" s="192"/>
      <c r="L54" s="192"/>
      <c r="M54" s="193"/>
      <c r="N54" s="26"/>
      <c r="O54" s="191" t="s">
        <v>61</v>
      </c>
      <c r="P54" s="192"/>
      <c r="Q54" s="192"/>
      <c r="R54" s="192"/>
      <c r="S54" s="193"/>
      <c r="T54" s="26"/>
      <c r="U54" s="116"/>
      <c r="V54" s="63"/>
      <c r="W54" s="3"/>
      <c r="X54" s="3"/>
      <c r="Y54" s="3"/>
      <c r="Z54" s="3"/>
      <c r="AA54" s="3"/>
      <c r="AB54" s="3"/>
      <c r="AC54" s="3"/>
      <c r="AD54" s="3"/>
      <c r="AF54" s="57"/>
    </row>
    <row r="55" spans="1:33" x14ac:dyDescent="0.2">
      <c r="A55" s="57" t="s">
        <v>54</v>
      </c>
      <c r="F55" s="11">
        <v>73.577669999999998</v>
      </c>
      <c r="G55" s="11">
        <v>85.781355000000005</v>
      </c>
      <c r="H55" s="47"/>
      <c r="I55" s="11">
        <v>81.210700000000003</v>
      </c>
      <c r="J55" s="11">
        <v>76.087329999999994</v>
      </c>
      <c r="K55" s="11">
        <v>77.168099999999995</v>
      </c>
      <c r="L55" s="11">
        <v>67.400000000000006</v>
      </c>
      <c r="M55" s="51">
        <f>SUM(I55:L55)/4</f>
        <v>75.4665325</v>
      </c>
      <c r="N55" s="33"/>
      <c r="O55" s="11">
        <v>77.03</v>
      </c>
      <c r="P55" s="11">
        <f>Z88-13</f>
        <v>86.671431799352263</v>
      </c>
      <c r="Q55" s="11">
        <f>Z98-13</f>
        <v>99.727918699749694</v>
      </c>
      <c r="R55" s="11">
        <f>Z108-13</f>
        <v>93.360269790873161</v>
      </c>
      <c r="S55" s="51">
        <f>SUM(O55:R55)/4</f>
        <v>89.19740507249378</v>
      </c>
      <c r="T55" s="33"/>
      <c r="U55" s="11">
        <f>Z118-13</f>
        <v>98.219634176741877</v>
      </c>
      <c r="V55" s="87" t="s">
        <v>102</v>
      </c>
      <c r="W55" s="87"/>
      <c r="X55" s="87"/>
      <c r="Y55" s="87"/>
      <c r="Z55" s="87"/>
      <c r="AA55" s="18"/>
      <c r="AB55" s="18"/>
      <c r="AC55" s="18"/>
      <c r="AD55" s="18"/>
    </row>
    <row r="56" spans="1:33" x14ac:dyDescent="0.2">
      <c r="A56" s="57" t="s">
        <v>55</v>
      </c>
      <c r="F56" s="11">
        <v>0</v>
      </c>
      <c r="G56" s="11">
        <v>0</v>
      </c>
      <c r="H56" s="47"/>
      <c r="I56" s="11">
        <v>0</v>
      </c>
      <c r="J56" s="11">
        <v>0</v>
      </c>
      <c r="K56" s="11">
        <v>0</v>
      </c>
      <c r="L56" s="11">
        <v>0</v>
      </c>
      <c r="M56" s="51">
        <f>SUM(I56:L56)/4</f>
        <v>0</v>
      </c>
      <c r="N56" s="33"/>
      <c r="O56" s="11">
        <v>89.11</v>
      </c>
      <c r="P56" s="11">
        <f>90/0.71</f>
        <v>126.7605633802817</v>
      </c>
      <c r="Q56" s="11">
        <f>100/0.71</f>
        <v>140.84507042253523</v>
      </c>
      <c r="R56" s="11">
        <f>85/0.71</f>
        <v>119.71830985915494</v>
      </c>
      <c r="S56" s="51">
        <f>SUM(O56:R56)/4</f>
        <v>119.10848591549296</v>
      </c>
      <c r="T56" s="33"/>
      <c r="U56" s="11">
        <f>80/0.71</f>
        <v>112.67605633802818</v>
      </c>
      <c r="V56" s="87" t="s">
        <v>104</v>
      </c>
      <c r="W56" s="87"/>
      <c r="X56" s="87"/>
      <c r="Y56" s="87"/>
      <c r="Z56" s="87"/>
      <c r="AA56" s="87"/>
      <c r="AB56" s="87"/>
      <c r="AC56" s="86"/>
      <c r="AD56" s="14"/>
    </row>
    <row r="57" spans="1:33" x14ac:dyDescent="0.2">
      <c r="A57" s="57" t="s">
        <v>56</v>
      </c>
      <c r="F57" s="11">
        <v>172.04400000000001</v>
      </c>
      <c r="G57" s="11">
        <v>98.616799999999998</v>
      </c>
      <c r="H57" s="47"/>
      <c r="I57" s="11">
        <v>136.16560000000001</v>
      </c>
      <c r="J57" s="11">
        <v>98.076899999999995</v>
      </c>
      <c r="K57" s="11">
        <v>60.298000000000002</v>
      </c>
      <c r="L57" s="11">
        <v>52.08</v>
      </c>
      <c r="M57" s="51">
        <f>SUM(I57:L57)/4</f>
        <v>86.655124999999998</v>
      </c>
      <c r="N57" s="33"/>
      <c r="O57" s="11">
        <v>45.63</v>
      </c>
      <c r="P57" s="11">
        <v>55</v>
      </c>
      <c r="Q57" s="11">
        <v>55</v>
      </c>
      <c r="R57" s="11">
        <v>55</v>
      </c>
      <c r="S57" s="51">
        <f>SUM(O57:R57)/4</f>
        <v>52.657499999999999</v>
      </c>
      <c r="T57" s="33"/>
      <c r="U57" s="11">
        <v>55</v>
      </c>
      <c r="V57" s="87" t="s">
        <v>87</v>
      </c>
      <c r="W57" s="87"/>
      <c r="X57" s="87"/>
      <c r="Y57" s="87"/>
      <c r="Z57" s="87"/>
      <c r="AA57" s="87"/>
      <c r="AB57" s="87"/>
      <c r="AC57" s="86"/>
      <c r="AD57" s="14"/>
    </row>
    <row r="58" spans="1:33" x14ac:dyDescent="0.2">
      <c r="A58" s="57" t="s">
        <v>57</v>
      </c>
      <c r="F58" s="11">
        <v>2.94394</v>
      </c>
      <c r="G58" s="11">
        <v>1.52302</v>
      </c>
      <c r="H58" s="47"/>
      <c r="I58" s="11">
        <v>2.3711600000000002</v>
      </c>
      <c r="J58" s="11">
        <v>1.93642</v>
      </c>
      <c r="K58" s="11">
        <v>0.74475999999999998</v>
      </c>
      <c r="L58" s="11">
        <v>2.3824800000000002</v>
      </c>
      <c r="M58" s="11">
        <f>SUM(I58:L58)/4</f>
        <v>1.8587050000000001</v>
      </c>
      <c r="N58" s="33"/>
      <c r="O58" s="11">
        <v>2.7866</v>
      </c>
      <c r="P58" s="11">
        <f>AD88-0.3</f>
        <v>1.8047278724573939</v>
      </c>
      <c r="Q58" s="11">
        <f>AD98-0.3</f>
        <v>1.9443404943404945</v>
      </c>
      <c r="R58" s="11">
        <f>AD108-0.3</f>
        <v>2.5741462369919672</v>
      </c>
      <c r="S58" s="11">
        <f>SUM(O58:R58)/4</f>
        <v>2.2774536509474639</v>
      </c>
      <c r="T58" s="33"/>
      <c r="U58" s="11">
        <f>AD118-0.3</f>
        <v>2.3101712071259186</v>
      </c>
      <c r="V58" s="87" t="s">
        <v>103</v>
      </c>
      <c r="W58" s="87"/>
      <c r="X58" s="87"/>
      <c r="Y58" s="87"/>
      <c r="Z58" s="87"/>
      <c r="AA58" s="87"/>
      <c r="AB58" s="87"/>
      <c r="AC58" s="87"/>
      <c r="AD58" s="87"/>
    </row>
    <row r="59" spans="1:33" x14ac:dyDescent="0.2">
      <c r="F59" s="7"/>
      <c r="G59" s="7"/>
      <c r="H59" s="41"/>
      <c r="I59" s="7"/>
      <c r="J59" s="7"/>
      <c r="K59" s="144"/>
      <c r="L59" s="144"/>
      <c r="M59" s="35"/>
      <c r="N59" s="26"/>
      <c r="O59" s="7"/>
      <c r="P59" s="7"/>
      <c r="Q59" s="144"/>
      <c r="R59" s="144"/>
      <c r="S59" s="35"/>
      <c r="T59" s="26"/>
      <c r="U59" s="7"/>
      <c r="V59" s="57"/>
      <c r="W59" s="57"/>
      <c r="X59" s="57"/>
      <c r="Y59" s="57"/>
      <c r="Z59" s="57"/>
      <c r="AA59" s="57"/>
      <c r="AB59" s="57"/>
      <c r="AC59" s="3"/>
    </row>
    <row r="60" spans="1:33" x14ac:dyDescent="0.2">
      <c r="A60" t="s">
        <v>7</v>
      </c>
      <c r="F60" s="16">
        <f>(F48*F55*365)/1000+(F49*F56*365)/1000+(F50*F57*365)/1000+(F51*F58*365)/1000</f>
        <v>78858.027550750005</v>
      </c>
      <c r="G60" s="16">
        <f>(G48*G55*366)/1000+(G49*G56*366)/1000+(G50*G57*366)/1000+(G51*G58*366)/1000+1684</f>
        <v>112220.02518564998</v>
      </c>
      <c r="H60" s="48"/>
      <c r="I60" s="16">
        <f>(I48*I55*90)/1000+(I49*I56*90)/1000+(I50*I57*90)/1000+(I51*I58*90)/1000+165</f>
        <v>34849.998714000001</v>
      </c>
      <c r="J60" s="16">
        <f>(J48*J55*91)/1000+(J49*J56*91)/1000+(J50*J57*91)/1000+(J51*J58*91)/1000+2349</f>
        <v>44341.013175839995</v>
      </c>
      <c r="K60" s="16">
        <f>(K48*K55*92)/1000+(K49*K56*92)/1000+(K50*K57*92)/1000+(K51*K58*92)/1000-710</f>
        <v>47055.998355599993</v>
      </c>
      <c r="L60" s="16">
        <f>(L48*L55*92)/1000+(L49*L56*92)/1000+(L50*L57*92)/1000+(L51*L58*92)/1000+9846</f>
        <v>57180.957042880007</v>
      </c>
      <c r="M60" s="52">
        <f>SUM(I60:L60)</f>
        <v>183427.96728832001</v>
      </c>
      <c r="N60" s="34"/>
      <c r="O60" s="16">
        <f>((O48*O55*90)/1000+(O49*O56*90)/1000+(O50*O57*90)/1000+(O51*O58*90)/1000)</f>
        <v>46609.790670000002</v>
      </c>
      <c r="P60" s="16">
        <f>(P48*P55*91)/1000+(P49*P56*91)/1000+(P50*P57*91)/1000+(P51*P58*91)/1000</f>
        <v>56464.919138028163</v>
      </c>
      <c r="Q60" s="16">
        <f>(Q48*Q55*92)/1000+(Q49*Q56*92)/1000+(Q50*Q57*92)/1000+(Q51*Q58*92)/1000</f>
        <v>78507.728014084511</v>
      </c>
      <c r="R60" s="16">
        <f>(R48*R55*92)/1000+(R49*R56*92)/1000+(R50*R57*92)/1000+(R51*R58*92)/1000</f>
        <v>96549.523886422539</v>
      </c>
      <c r="S60" s="52">
        <f>SUM(O60:R60)</f>
        <v>278131.96170853521</v>
      </c>
      <c r="T60" s="34"/>
      <c r="U60" s="16">
        <f>(U48*U55*365)/1000+(U49*U56*365)/1000+(U50*U57*365)/1000+(U51*U58*365)/1000</f>
        <v>435125.50264788739</v>
      </c>
      <c r="V60" s="57"/>
    </row>
    <row r="61" spans="1:33" x14ac:dyDescent="0.2">
      <c r="F61" s="1"/>
      <c r="G61" s="170" t="s">
        <v>76</v>
      </c>
      <c r="H61" s="1"/>
      <c r="I61" s="177">
        <v>34850</v>
      </c>
      <c r="J61" s="177">
        <v>44341</v>
      </c>
      <c r="K61" s="177">
        <v>47056</v>
      </c>
      <c r="L61" s="177">
        <v>57181</v>
      </c>
      <c r="M61" s="176">
        <f>SUM(I61:L61)</f>
        <v>183428</v>
      </c>
      <c r="N61" s="178"/>
      <c r="O61" s="177">
        <v>46610</v>
      </c>
      <c r="P61" s="146" t="s">
        <v>60</v>
      </c>
      <c r="Q61" s="146" t="s">
        <v>60</v>
      </c>
      <c r="R61" s="146" t="s">
        <v>60</v>
      </c>
      <c r="S61" s="71">
        <v>300500</v>
      </c>
      <c r="T61" s="71"/>
      <c r="U61" s="71">
        <v>408000</v>
      </c>
      <c r="V61" s="91" t="s">
        <v>44</v>
      </c>
      <c r="W61" s="72"/>
      <c r="X61" s="72"/>
    </row>
    <row r="62" spans="1:33" x14ac:dyDescent="0.2">
      <c r="F62" s="1"/>
      <c r="G62" s="170"/>
      <c r="H62" s="1"/>
      <c r="I62" s="66"/>
      <c r="J62" s="1"/>
      <c r="K62" s="150"/>
      <c r="L62" s="150"/>
      <c r="M62" s="1"/>
      <c r="N62" s="1"/>
      <c r="O62" s="1"/>
      <c r="P62" s="1"/>
      <c r="Q62" s="1"/>
      <c r="R62" s="1"/>
      <c r="S62" s="1"/>
      <c r="T62" s="1"/>
      <c r="U62" s="143"/>
      <c r="V62" s="57"/>
    </row>
    <row r="63" spans="1:33" x14ac:dyDescent="0.2">
      <c r="F63" s="1"/>
      <c r="G63" s="1"/>
      <c r="H63" s="1"/>
      <c r="I63" s="188" t="s">
        <v>94</v>
      </c>
      <c r="J63" s="189"/>
      <c r="K63" s="190"/>
      <c r="L63" s="150"/>
      <c r="M63" s="188" t="s">
        <v>94</v>
      </c>
      <c r="N63" s="189"/>
      <c r="O63" s="189"/>
      <c r="P63" s="189"/>
      <c r="Q63" s="189"/>
      <c r="R63" s="189"/>
      <c r="S63" s="189"/>
      <c r="T63" s="189"/>
      <c r="U63" s="156"/>
      <c r="V63" s="57"/>
    </row>
    <row r="64" spans="1:33" x14ac:dyDescent="0.2">
      <c r="F64" s="1"/>
      <c r="G64" s="57" t="s">
        <v>62</v>
      </c>
      <c r="I64" s="153">
        <f t="shared" ref="I64:J67" si="10">I48*I55*91/1000</f>
        <v>22746.9546486</v>
      </c>
      <c r="J64" s="153">
        <f t="shared" si="10"/>
        <v>31227.001105299998</v>
      </c>
      <c r="K64" s="153">
        <f t="shared" ref="K64:L67" si="11">K48*K55*92/1000</f>
        <v>38330.012614799998</v>
      </c>
      <c r="L64" s="153">
        <f t="shared" si="11"/>
        <v>29695.631200000003</v>
      </c>
      <c r="M64" s="153">
        <f>M48*M55*366/1000</f>
        <v>122746.61697737999</v>
      </c>
      <c r="N64" s="1"/>
      <c r="O64" s="151">
        <f>O48*O55*90/1000</f>
        <v>27113.789700000001</v>
      </c>
      <c r="P64" s="151">
        <f>P48*P55*91/1000</f>
        <v>36872.193873239434</v>
      </c>
      <c r="Q64" s="151">
        <f t="shared" ref="Q64:R67" si="12">Q48*Q55*92/1000</f>
        <v>56013.182816901412</v>
      </c>
      <c r="R64" s="151">
        <f t="shared" si="12"/>
        <v>69620.172259154948</v>
      </c>
      <c r="S64" s="151">
        <f>SUM(O64:R64)</f>
        <v>189619.33864929579</v>
      </c>
      <c r="T64" s="1"/>
      <c r="U64" s="151">
        <f>U48*U55*365/1000</f>
        <v>324085.50492957752</v>
      </c>
      <c r="V64" s="57" t="s">
        <v>62</v>
      </c>
    </row>
    <row r="65" spans="1:31" x14ac:dyDescent="0.2">
      <c r="F65" s="1"/>
      <c r="G65" s="57" t="s">
        <v>63</v>
      </c>
      <c r="I65" s="153">
        <f t="shared" si="10"/>
        <v>0</v>
      </c>
      <c r="J65" s="153">
        <f t="shared" si="10"/>
        <v>0</v>
      </c>
      <c r="K65" s="153">
        <f t="shared" si="11"/>
        <v>0</v>
      </c>
      <c r="L65" s="153">
        <f t="shared" si="11"/>
        <v>0</v>
      </c>
      <c r="M65" s="153">
        <f>M49*M56*366/1000</f>
        <v>0</v>
      </c>
      <c r="N65" s="1"/>
      <c r="O65" s="151">
        <f>O49*O56*90/1000</f>
        <v>1804.4775</v>
      </c>
      <c r="P65" s="151">
        <f>P49*P56*91/1000</f>
        <v>3137.5774647887324</v>
      </c>
      <c r="Q65" s="151">
        <f t="shared" si="12"/>
        <v>4794.3661971830998</v>
      </c>
      <c r="R65" s="151">
        <f t="shared" si="12"/>
        <v>5579.7352112676062</v>
      </c>
      <c r="S65" s="151">
        <f>SUM(O65:R65)</f>
        <v>15316.156373239439</v>
      </c>
      <c r="T65" s="1"/>
      <c r="U65" s="151">
        <f>U49*U56*365/1000</f>
        <v>23236.619718309859</v>
      </c>
      <c r="V65" s="57" t="s">
        <v>63</v>
      </c>
    </row>
    <row r="66" spans="1:31" x14ac:dyDescent="0.2">
      <c r="F66" s="1"/>
      <c r="G66" s="57" t="s">
        <v>64</v>
      </c>
      <c r="I66" s="153">
        <f t="shared" si="10"/>
        <v>3791.6672976</v>
      </c>
      <c r="J66" s="153">
        <f t="shared" si="10"/>
        <v>3212.9992440000001</v>
      </c>
      <c r="K66" s="153">
        <f t="shared" si="11"/>
        <v>5907.9980400000004</v>
      </c>
      <c r="L66" s="153">
        <f t="shared" si="11"/>
        <v>5366.3231999999998</v>
      </c>
      <c r="M66" s="153">
        <f>M50*M57*366/1000</f>
        <v>22605.419165812498</v>
      </c>
      <c r="N66" s="1"/>
      <c r="O66" s="151">
        <f>O50*O57*90/1000</f>
        <v>3934.2186000000002</v>
      </c>
      <c r="P66" s="151">
        <f>P50*P57*91/1000</f>
        <v>5700.6949999999997</v>
      </c>
      <c r="Q66" s="151">
        <f t="shared" si="12"/>
        <v>6084.65</v>
      </c>
      <c r="R66" s="151">
        <f t="shared" si="12"/>
        <v>6664.8296000000009</v>
      </c>
      <c r="S66" s="151">
        <f>SUM(O66:R66)</f>
        <v>22384.393199999999</v>
      </c>
      <c r="T66" s="1"/>
      <c r="U66" s="151">
        <f>U50*U57*365/1000</f>
        <v>29490.174999999999</v>
      </c>
      <c r="V66" s="57" t="s">
        <v>64</v>
      </c>
    </row>
    <row r="67" spans="1:31" x14ac:dyDescent="0.2">
      <c r="F67" s="1"/>
      <c r="G67" s="57" t="s">
        <v>65</v>
      </c>
      <c r="I67" s="153">
        <f t="shared" si="10"/>
        <v>8531.7656423999997</v>
      </c>
      <c r="J67" s="153">
        <f t="shared" si="10"/>
        <v>7552.0128265399999</v>
      </c>
      <c r="K67" s="153">
        <f t="shared" si="11"/>
        <v>3527.9877007999999</v>
      </c>
      <c r="L67" s="153">
        <f t="shared" si="11"/>
        <v>12273.002642880001</v>
      </c>
      <c r="M67" s="153">
        <f>M51*M58*366/1000</f>
        <v>32293.177844099999</v>
      </c>
      <c r="N67" s="145"/>
      <c r="O67" s="151">
        <f>O51*O58*90/1000</f>
        <v>13757.30487</v>
      </c>
      <c r="P67" s="151">
        <f>P51*P58*91/1000</f>
        <v>10754.452799999997</v>
      </c>
      <c r="Q67" s="151">
        <f t="shared" si="12"/>
        <v>11615.529000000002</v>
      </c>
      <c r="R67" s="151">
        <f t="shared" si="12"/>
        <v>14684.786815999996</v>
      </c>
      <c r="S67" s="151">
        <f>SUM(O67:R67)</f>
        <v>50812.073485999994</v>
      </c>
      <c r="T67" s="145"/>
      <c r="U67" s="151">
        <f>U51*U58*365/1000</f>
        <v>58313.203000000016</v>
      </c>
      <c r="V67" s="57" t="s">
        <v>65</v>
      </c>
      <c r="W67" s="145"/>
      <c r="X67" s="145"/>
      <c r="Y67" s="145"/>
      <c r="Z67" s="145"/>
    </row>
    <row r="68" spans="1:31" ht="13.5" thickBot="1" x14ac:dyDescent="0.25">
      <c r="F68" s="1"/>
      <c r="G68" s="1"/>
      <c r="H68" s="1"/>
      <c r="I68" s="154">
        <f>SUM(I64:I67)</f>
        <v>35070.387588600002</v>
      </c>
      <c r="J68" s="154">
        <f>SUM(J64:J67)</f>
        <v>41992.013175839995</v>
      </c>
      <c r="K68" s="154">
        <f>SUM(K64:K67)</f>
        <v>47765.998355599993</v>
      </c>
      <c r="L68" s="154">
        <f>SUM(L64:L67)</f>
        <v>47334.957042880007</v>
      </c>
      <c r="M68" s="154">
        <f>SUM(M64:M67)</f>
        <v>177645.21398729249</v>
      </c>
      <c r="N68" s="145"/>
      <c r="O68" s="152">
        <f>SUM(O64:O67)</f>
        <v>46609.790670000002</v>
      </c>
      <c r="P68" s="152">
        <f>SUM(P64:P67)</f>
        <v>56464.919138028163</v>
      </c>
      <c r="Q68" s="152">
        <f>SUM(Q64:Q67)</f>
        <v>78507.728014084511</v>
      </c>
      <c r="R68" s="152">
        <f>SUM(R64:R67)</f>
        <v>96549.523886422539</v>
      </c>
      <c r="S68" s="152">
        <f>SUM(S64:S67)</f>
        <v>278131.96170853521</v>
      </c>
      <c r="T68" s="145"/>
      <c r="U68" s="152">
        <f>SUM(U64:U67)</f>
        <v>435125.50264788739</v>
      </c>
      <c r="V68" s="162"/>
      <c r="W68" s="155"/>
      <c r="X68" s="145"/>
      <c r="Y68" s="145"/>
      <c r="Z68" s="145"/>
    </row>
    <row r="69" spans="1:31" ht="15.75" thickTop="1" x14ac:dyDescent="0.2">
      <c r="F69" s="1"/>
      <c r="G69" s="1"/>
      <c r="H69" s="1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55"/>
      <c r="V69" s="145"/>
      <c r="W69" s="145"/>
      <c r="X69" s="163" t="s">
        <v>67</v>
      </c>
      <c r="Y69" s="163"/>
      <c r="Z69" s="145"/>
    </row>
    <row r="70" spans="1:31" ht="15" x14ac:dyDescent="0.25">
      <c r="E70" s="134"/>
      <c r="F70" s="1"/>
      <c r="G70" s="1"/>
      <c r="H70" s="1"/>
      <c r="J70" s="1"/>
      <c r="K70" s="1"/>
      <c r="L70" s="1"/>
      <c r="M70" s="134" t="s">
        <v>101</v>
      </c>
      <c r="N70" s="1"/>
      <c r="O70" s="1"/>
      <c r="P70" s="1"/>
      <c r="Q70" s="1"/>
      <c r="R70" s="1"/>
      <c r="S70" s="1"/>
      <c r="T70" s="1"/>
      <c r="U70" s="1"/>
      <c r="Y70" s="174" t="s">
        <v>89</v>
      </c>
      <c r="Z70" s="108" t="s">
        <v>77</v>
      </c>
      <c r="AA70" s="109"/>
      <c r="AD70" s="108" t="s">
        <v>77</v>
      </c>
    </row>
    <row r="71" spans="1:31" x14ac:dyDescent="0.2">
      <c r="A71" s="106"/>
      <c r="B71" s="106"/>
      <c r="C71" s="106"/>
      <c r="D71" s="106"/>
      <c r="E71" s="106"/>
      <c r="F71" s="118"/>
      <c r="G71" s="11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Y71" s="140"/>
      <c r="Z71" s="108" t="s">
        <v>26</v>
      </c>
      <c r="AA71" s="109"/>
      <c r="AC71" s="140"/>
      <c r="AD71" s="108" t="s">
        <v>70</v>
      </c>
    </row>
    <row r="72" spans="1:31" x14ac:dyDescent="0.2">
      <c r="A72" s="57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X72" s="57" t="s">
        <v>27</v>
      </c>
      <c r="Z72" s="96">
        <f>O48</f>
        <v>3911</v>
      </c>
      <c r="AA72" s="109"/>
      <c r="AB72" s="57" t="s">
        <v>27</v>
      </c>
      <c r="AD72" s="96">
        <f>O51</f>
        <v>54855</v>
      </c>
    </row>
    <row r="73" spans="1:31" x14ac:dyDescent="0.2">
      <c r="A73" s="63"/>
      <c r="B73" s="63"/>
      <c r="C73" s="119"/>
      <c r="D73" s="6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X73" s="57" t="s">
        <v>25</v>
      </c>
      <c r="Y73" s="110" t="s">
        <v>68</v>
      </c>
      <c r="AA73" s="109"/>
      <c r="AB73" s="57" t="s">
        <v>25</v>
      </c>
      <c r="AC73" s="110" t="s">
        <v>75</v>
      </c>
    </row>
    <row r="74" spans="1:31" x14ac:dyDescent="0.2">
      <c r="A74" s="63"/>
      <c r="B74" s="63"/>
      <c r="C74" s="122"/>
      <c r="D74" s="6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X74" s="99">
        <v>2000</v>
      </c>
      <c r="Y74" s="83">
        <v>85.57</v>
      </c>
      <c r="Z74" s="97">
        <f>(X74/Z72)*Y74</f>
        <v>43.758629506520066</v>
      </c>
      <c r="AA74" s="109"/>
      <c r="AB74" s="99">
        <v>28500</v>
      </c>
      <c r="AC74" s="83">
        <v>3.06</v>
      </c>
      <c r="AD74" s="97">
        <f>(AB74/AD72)*AC74</f>
        <v>1.5898277276456112</v>
      </c>
    </row>
    <row r="75" spans="1:31" x14ac:dyDescent="0.2">
      <c r="A75" s="63"/>
      <c r="B75" s="63"/>
      <c r="C75" s="122"/>
      <c r="D75" s="6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X75" s="99">
        <v>670</v>
      </c>
      <c r="Y75" s="83">
        <v>82.5</v>
      </c>
      <c r="Z75" s="97">
        <f>(X75/Z72)*Y75</f>
        <v>14.133214011761696</v>
      </c>
      <c r="AA75" s="109"/>
      <c r="AB75" s="99">
        <v>0</v>
      </c>
      <c r="AC75" s="83">
        <v>0</v>
      </c>
      <c r="AD75" s="97">
        <f>(AB75/AD72)*AC75</f>
        <v>0</v>
      </c>
    </row>
    <row r="76" spans="1:31" x14ac:dyDescent="0.2">
      <c r="A76" s="63"/>
      <c r="B76" s="63"/>
      <c r="C76" s="123"/>
      <c r="D76" s="6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X76" s="96">
        <v>0</v>
      </c>
      <c r="Y76" s="97">
        <v>0</v>
      </c>
      <c r="Z76" s="97">
        <f>X76/Z72*Y76</f>
        <v>0</v>
      </c>
      <c r="AA76" s="109"/>
      <c r="AB76" s="96">
        <v>0</v>
      </c>
      <c r="AC76" s="97">
        <v>0</v>
      </c>
      <c r="AD76" s="97">
        <f>AB76/AD72*AC76</f>
        <v>0</v>
      </c>
      <c r="AE76" s="94"/>
    </row>
    <row r="77" spans="1:31" x14ac:dyDescent="0.2">
      <c r="A77" s="89"/>
      <c r="B77" s="89"/>
      <c r="C77" s="89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X77" s="100">
        <f>Z72-X74-X75-X76</f>
        <v>1241</v>
      </c>
      <c r="Y77" s="97">
        <f>71.93/0.71</f>
        <v>101.3098591549296</v>
      </c>
      <c r="Z77" s="97">
        <f>X77/Z72*Y77</f>
        <v>32.146646691707403</v>
      </c>
      <c r="AA77" s="109"/>
      <c r="AB77" s="100">
        <f>AD72-AB74-AB75-AB76</f>
        <v>26355</v>
      </c>
      <c r="AC77" s="97">
        <v>3</v>
      </c>
      <c r="AD77" s="97">
        <f>AB77/AD72*AC77</f>
        <v>1.4413453650533223</v>
      </c>
      <c r="AE77" s="94"/>
    </row>
    <row r="78" spans="1:31" x14ac:dyDescent="0.2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X78" s="100">
        <f>SUM(X74:X77)</f>
        <v>3911</v>
      </c>
      <c r="Z78" s="98">
        <f>SUM(Z74:Z77)</f>
        <v>90.038490209989163</v>
      </c>
      <c r="AA78" s="109"/>
      <c r="AB78" s="100">
        <f>SUM(AB74:AB77)</f>
        <v>54855</v>
      </c>
      <c r="AD78" s="98">
        <f>SUM(AD74:AD77)</f>
        <v>3.0311730926989338</v>
      </c>
    </row>
    <row r="79" spans="1:31" x14ac:dyDescent="0.2">
      <c r="A79" s="63"/>
      <c r="C79" s="12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AA79" s="109"/>
    </row>
    <row r="80" spans="1:31" x14ac:dyDescent="0.2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Z80" s="108" t="s">
        <v>78</v>
      </c>
      <c r="AA80" s="109"/>
      <c r="AD80" s="108" t="s">
        <v>78</v>
      </c>
    </row>
    <row r="81" spans="6:31" x14ac:dyDescent="0.2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Z81" s="108" t="s">
        <v>26</v>
      </c>
      <c r="AA81" s="109"/>
      <c r="AD81" s="108" t="s">
        <v>70</v>
      </c>
    </row>
    <row r="82" spans="6:31" x14ac:dyDescent="0.2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X82" s="57" t="s">
        <v>27</v>
      </c>
      <c r="Z82" s="96">
        <f>P48</f>
        <v>4675</v>
      </c>
      <c r="AA82" s="109"/>
      <c r="AB82" s="57" t="s">
        <v>27</v>
      </c>
      <c r="AD82" s="96">
        <f>P51</f>
        <v>65484</v>
      </c>
    </row>
    <row r="83" spans="6:31" x14ac:dyDescent="0.2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X83" s="57" t="s">
        <v>25</v>
      </c>
      <c r="Y83" s="110" t="s">
        <v>68</v>
      </c>
      <c r="AA83" s="109"/>
      <c r="AB83" s="57" t="s">
        <v>25</v>
      </c>
      <c r="AC83" s="110" t="s">
        <v>75</v>
      </c>
    </row>
    <row r="84" spans="6:31" x14ac:dyDescent="0.2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X84" s="99">
        <v>2000</v>
      </c>
      <c r="Y84" s="83">
        <v>85.57</v>
      </c>
      <c r="Z84" s="97">
        <f>(X84/Z82)*Y84</f>
        <v>36.607486631016037</v>
      </c>
      <c r="AA84" s="109"/>
      <c r="AB84" s="99">
        <v>30000</v>
      </c>
      <c r="AC84" s="83">
        <v>2.82</v>
      </c>
      <c r="AD84" s="97">
        <f>(AB84/AD82)*AC84</f>
        <v>1.2919186366135238</v>
      </c>
    </row>
    <row r="85" spans="6:31" x14ac:dyDescent="0.2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X85" s="99">
        <v>1000</v>
      </c>
      <c r="Y85" s="83">
        <v>82.5</v>
      </c>
      <c r="Z85" s="97">
        <f>(X85/Z82)*Y85</f>
        <v>17.647058823529413</v>
      </c>
      <c r="AA85" s="109"/>
      <c r="AB85" s="99"/>
      <c r="AC85" s="83"/>
      <c r="AD85" s="97">
        <f>(AB85/AD82)*AC85</f>
        <v>0</v>
      </c>
    </row>
    <row r="86" spans="6:31" x14ac:dyDescent="0.2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X86" s="96"/>
      <c r="Y86" s="97"/>
      <c r="Z86" s="97">
        <f>X86/Z82*Y86</f>
        <v>0</v>
      </c>
      <c r="AA86" s="109"/>
      <c r="AB86" s="96"/>
      <c r="AC86" s="97"/>
      <c r="AD86" s="97">
        <f>AB86/AD82*AC86</f>
        <v>0</v>
      </c>
      <c r="AE86" s="94"/>
    </row>
    <row r="87" spans="6:31" x14ac:dyDescent="0.2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X87" s="100">
        <f>Z82-X84-X85-X86</f>
        <v>1675</v>
      </c>
      <c r="Y87" s="97">
        <f>90/0.71</f>
        <v>126.7605633802817</v>
      </c>
      <c r="Z87" s="97">
        <f>X87/Z82*Y87</f>
        <v>45.416886344806812</v>
      </c>
      <c r="AA87" s="109"/>
      <c r="AB87" s="100">
        <f>AD82-AB84-AB85-AB86</f>
        <v>35484</v>
      </c>
      <c r="AC87" s="97">
        <v>1.5</v>
      </c>
      <c r="AD87" s="97">
        <f>AB87/AD82*AC87</f>
        <v>0.81280923584387033</v>
      </c>
      <c r="AE87" s="94"/>
    </row>
    <row r="88" spans="6:31" x14ac:dyDescent="0.2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X88" s="100">
        <f>SUM(X84:X87)</f>
        <v>4675</v>
      </c>
      <c r="Z88" s="98">
        <f>SUM(Z84:Z87)</f>
        <v>99.671431799352263</v>
      </c>
      <c r="AA88" s="109"/>
      <c r="AB88" s="100">
        <f>SUM(AB84:AB87)</f>
        <v>65484</v>
      </c>
      <c r="AD88" s="98">
        <f>SUM(AD84:AD87)</f>
        <v>2.1047278724573939</v>
      </c>
    </row>
    <row r="89" spans="6:31" ht="15" x14ac:dyDescent="0.25">
      <c r="F89" s="1"/>
      <c r="G89" s="1"/>
      <c r="H89" s="1"/>
      <c r="I89" s="1"/>
      <c r="J89" s="1"/>
      <c r="K89" s="1"/>
      <c r="L89" s="1"/>
      <c r="M89" s="169"/>
      <c r="N89" s="169"/>
      <c r="O89" s="169"/>
      <c r="P89" s="169"/>
      <c r="Q89" s="1"/>
      <c r="R89" s="1"/>
      <c r="S89" s="1"/>
      <c r="T89" s="1"/>
      <c r="U89" s="1"/>
      <c r="AA89" s="109"/>
    </row>
    <row r="90" spans="6:31" x14ac:dyDescent="0.2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Z90" s="108" t="s">
        <v>79</v>
      </c>
      <c r="AA90" s="109"/>
      <c r="AD90" s="108" t="s">
        <v>79</v>
      </c>
    </row>
    <row r="91" spans="6:31" x14ac:dyDescent="0.2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Z91" s="108" t="s">
        <v>26</v>
      </c>
      <c r="AA91" s="109"/>
      <c r="AD91" s="108" t="s">
        <v>70</v>
      </c>
    </row>
    <row r="92" spans="6:31" x14ac:dyDescent="0.2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X92" s="57" t="s">
        <v>27</v>
      </c>
      <c r="Z92" s="96">
        <f>Q48</f>
        <v>6105</v>
      </c>
      <c r="AA92" s="109"/>
      <c r="AB92" s="57" t="s">
        <v>27</v>
      </c>
      <c r="AD92" s="96">
        <f>Q51</f>
        <v>64935</v>
      </c>
    </row>
    <row r="93" spans="6:31" x14ac:dyDescent="0.2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X93" s="57" t="s">
        <v>25</v>
      </c>
      <c r="Y93" s="110" t="s">
        <v>68</v>
      </c>
      <c r="AA93" s="109"/>
      <c r="AB93" s="57" t="s">
        <v>25</v>
      </c>
      <c r="AC93" s="110" t="s">
        <v>75</v>
      </c>
    </row>
    <row r="94" spans="6:31" ht="15" x14ac:dyDescent="0.2">
      <c r="F94" s="167"/>
      <c r="G94" s="167"/>
      <c r="H94" s="167"/>
      <c r="I94" s="16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X94" s="99">
        <v>2000</v>
      </c>
      <c r="Y94" s="83">
        <v>84.19</v>
      </c>
      <c r="Z94" s="97">
        <f>(X94/Z92)*Y94</f>
        <v>27.580671580671581</v>
      </c>
      <c r="AA94" s="109"/>
      <c r="AB94" s="99">
        <v>30000</v>
      </c>
      <c r="AC94" s="83">
        <v>2.82</v>
      </c>
      <c r="AD94" s="97">
        <f>(AB94/AD92)*AC94</f>
        <v>1.3028413028413028</v>
      </c>
    </row>
    <row r="95" spans="6:31" x14ac:dyDescent="0.2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X95" s="99">
        <v>1000</v>
      </c>
      <c r="Y95" s="83">
        <v>82.5</v>
      </c>
      <c r="Z95" s="97">
        <f>(X95/Z92)*Y95</f>
        <v>13.513513513513512</v>
      </c>
      <c r="AA95" s="109"/>
      <c r="AB95" s="99"/>
      <c r="AC95" s="83"/>
      <c r="AD95" s="97">
        <f>(AB95/AD92)*AC95</f>
        <v>0</v>
      </c>
    </row>
    <row r="96" spans="6:31" x14ac:dyDescent="0.2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X96" s="96"/>
      <c r="Y96" s="97"/>
      <c r="Z96" s="97">
        <f>X96/Z92*Y96</f>
        <v>0</v>
      </c>
      <c r="AA96" s="109"/>
      <c r="AB96" s="96"/>
      <c r="AC96" s="97"/>
      <c r="AD96" s="97">
        <f>AB96/AD92*AC96</f>
        <v>0</v>
      </c>
      <c r="AE96" s="94"/>
    </row>
    <row r="97" spans="5:31" x14ac:dyDescent="0.2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X97" s="100">
        <f>Z92-X94-X95-X96</f>
        <v>3105</v>
      </c>
      <c r="Y97" s="97">
        <f>100/0.71</f>
        <v>140.84507042253523</v>
      </c>
      <c r="Z97" s="97">
        <f>X97/Z92*Y97</f>
        <v>71.633733605564601</v>
      </c>
      <c r="AA97" s="109"/>
      <c r="AB97" s="100">
        <f>AD92-AB94-AB95-AB96</f>
        <v>34935</v>
      </c>
      <c r="AC97" s="97">
        <v>1.75</v>
      </c>
      <c r="AD97" s="97">
        <f>AB97/AD92*AC97</f>
        <v>0.94149919149919159</v>
      </c>
      <c r="AE97" s="94"/>
    </row>
    <row r="98" spans="5:31" x14ac:dyDescent="0.2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X98" s="100">
        <f>SUM(X94:X97)</f>
        <v>6105</v>
      </c>
      <c r="Z98" s="98">
        <f>SUM(Z94:Z97)</f>
        <v>112.72791869974969</v>
      </c>
      <c r="AA98" s="109"/>
      <c r="AB98" s="100">
        <f>SUM(AB94:AB97)</f>
        <v>64935</v>
      </c>
      <c r="AD98" s="98">
        <f>SUM(AD94:AD97)</f>
        <v>2.2443404943404945</v>
      </c>
    </row>
    <row r="99" spans="5:31" x14ac:dyDescent="0.2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AA99" s="109"/>
    </row>
    <row r="100" spans="5:31" x14ac:dyDescent="0.2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Z100" s="108" t="s">
        <v>80</v>
      </c>
      <c r="AA100" s="109"/>
      <c r="AD100" s="108" t="s">
        <v>80</v>
      </c>
    </row>
    <row r="101" spans="5:31" x14ac:dyDescent="0.2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Z101" s="108" t="s">
        <v>26</v>
      </c>
      <c r="AA101" s="109"/>
      <c r="AD101" s="108" t="s">
        <v>70</v>
      </c>
    </row>
    <row r="102" spans="5:31" x14ac:dyDescent="0.2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X102" s="57" t="s">
        <v>27</v>
      </c>
      <c r="Z102" s="96">
        <f>R48</f>
        <v>8105.6</v>
      </c>
      <c r="AA102" s="109"/>
      <c r="AB102" s="57" t="s">
        <v>27</v>
      </c>
      <c r="AD102" s="96">
        <f>R51</f>
        <v>62007.839999999997</v>
      </c>
    </row>
    <row r="103" spans="5:31" x14ac:dyDescent="0.2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X103" s="57" t="s">
        <v>25</v>
      </c>
      <c r="Y103" s="110" t="s">
        <v>68</v>
      </c>
      <c r="AA103" s="109"/>
      <c r="AB103" s="57" t="s">
        <v>25</v>
      </c>
      <c r="AC103" s="110" t="s">
        <v>75</v>
      </c>
    </row>
    <row r="104" spans="5:31" x14ac:dyDescent="0.2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X104" s="99">
        <v>2000</v>
      </c>
      <c r="Y104" s="83">
        <v>84.19</v>
      </c>
      <c r="Z104" s="97">
        <f>(X104/Z102)*Y104</f>
        <v>20.773292538491905</v>
      </c>
      <c r="AA104" s="109"/>
      <c r="AB104" s="99">
        <v>10000</v>
      </c>
      <c r="AC104" s="83">
        <v>2.82</v>
      </c>
      <c r="AD104" s="97">
        <f>(AB104/AD102)*AC104</f>
        <v>0.45478120186092597</v>
      </c>
    </row>
    <row r="105" spans="5:31" x14ac:dyDescent="0.2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X105" s="99">
        <v>1000</v>
      </c>
      <c r="Y105" s="83">
        <v>82.5</v>
      </c>
      <c r="Z105" s="97">
        <f>(X105/Z102)*Y105</f>
        <v>10.178148440584287</v>
      </c>
      <c r="AA105" s="109"/>
      <c r="AB105" s="99">
        <v>20000</v>
      </c>
      <c r="AC105" s="83">
        <v>3.5</v>
      </c>
      <c r="AD105" s="97">
        <f>(AB105/AD102)*AC105</f>
        <v>1.1288895081654191</v>
      </c>
    </row>
    <row r="106" spans="5:31" x14ac:dyDescent="0.2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X106" s="96"/>
      <c r="Y106" s="97"/>
      <c r="Z106" s="97">
        <f>X106/Z102*Y106</f>
        <v>0</v>
      </c>
      <c r="AA106" s="109"/>
      <c r="AB106" s="96"/>
      <c r="AC106" s="97"/>
      <c r="AD106" s="97">
        <f>AB106/AD102*AC106</f>
        <v>0</v>
      </c>
    </row>
    <row r="107" spans="5:31" x14ac:dyDescent="0.2">
      <c r="E107" s="63"/>
      <c r="F107" s="89"/>
      <c r="G107" s="89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X107" s="100">
        <f>Z102-X104-X105-X106</f>
        <v>5105.6000000000004</v>
      </c>
      <c r="Y107" s="97">
        <f>85/0.71</f>
        <v>119.71830985915494</v>
      </c>
      <c r="Z107" s="97">
        <f>X107/Z102*Y107</f>
        <v>75.408828811796965</v>
      </c>
      <c r="AA107" s="109"/>
      <c r="AB107" s="100">
        <f>AD102-AB104-AB105-AB106</f>
        <v>32007.839999999997</v>
      </c>
      <c r="AC107" s="97">
        <v>2.5</v>
      </c>
      <c r="AD107" s="97">
        <f>AB107/AD102*AC107</f>
        <v>1.2904755269656223</v>
      </c>
    </row>
    <row r="108" spans="5:31" x14ac:dyDescent="0.2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X108" s="100">
        <f>SUM(X104:X107)</f>
        <v>8105.6</v>
      </c>
      <c r="Z108" s="98">
        <f>SUM(Z104:Z107)</f>
        <v>106.36026979087316</v>
      </c>
      <c r="AA108" s="109"/>
      <c r="AB108" s="100">
        <f>SUM(AB104:AB107)</f>
        <v>62007.839999999997</v>
      </c>
      <c r="AD108" s="98">
        <f>SUM(AD104:AD107)</f>
        <v>2.874146236991967</v>
      </c>
    </row>
    <row r="109" spans="5:31" x14ac:dyDescent="0.2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AA109" s="109"/>
    </row>
    <row r="110" spans="5:31" x14ac:dyDescent="0.2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Z110" s="166">
        <v>2027</v>
      </c>
      <c r="AA110" s="109"/>
      <c r="AD110" s="166">
        <v>2027</v>
      </c>
    </row>
    <row r="111" spans="5:31" x14ac:dyDescent="0.2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Z111" s="108" t="s">
        <v>26</v>
      </c>
      <c r="AA111" s="109"/>
      <c r="AD111" s="108" t="s">
        <v>70</v>
      </c>
    </row>
    <row r="112" spans="5:31" x14ac:dyDescent="0.2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X112" s="57" t="s">
        <v>27</v>
      </c>
      <c r="Z112" s="96">
        <f>U48</f>
        <v>9040</v>
      </c>
      <c r="AA112" s="109"/>
      <c r="AB112" s="57" t="s">
        <v>27</v>
      </c>
      <c r="AD112" s="96">
        <f>U51</f>
        <v>69156</v>
      </c>
    </row>
    <row r="113" spans="6:30" x14ac:dyDescent="0.2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X113" s="57" t="s">
        <v>25</v>
      </c>
      <c r="Y113" s="110" t="s">
        <v>68</v>
      </c>
      <c r="AA113" s="109"/>
      <c r="AB113" s="57" t="s">
        <v>25</v>
      </c>
      <c r="AC113" s="110" t="s">
        <v>75</v>
      </c>
    </row>
    <row r="114" spans="6:30" x14ac:dyDescent="0.2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X114" s="99">
        <v>1000</v>
      </c>
      <c r="Y114" s="83">
        <v>99.51</v>
      </c>
      <c r="Z114" s="97">
        <f>(X114/Z112)*Y114</f>
        <v>11.00774336283186</v>
      </c>
      <c r="AA114" s="109"/>
      <c r="AB114" s="99">
        <v>833</v>
      </c>
      <c r="AC114" s="83">
        <v>3.5</v>
      </c>
      <c r="AD114" s="97">
        <f>(AB114/AD112)*AC114</f>
        <v>4.2158308751229105E-2</v>
      </c>
    </row>
    <row r="115" spans="6:30" x14ac:dyDescent="0.2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X115" s="99"/>
      <c r="Y115" s="83"/>
      <c r="Z115" s="97">
        <f>(X115/Z112)*Y115</f>
        <v>0</v>
      </c>
      <c r="AA115" s="109"/>
      <c r="AB115" s="99">
        <v>8750</v>
      </c>
      <c r="AC115" s="83">
        <v>2.64</v>
      </c>
      <c r="AD115" s="97">
        <f>(AB115/AD112)*AC115</f>
        <v>0.33402741627624505</v>
      </c>
    </row>
    <row r="116" spans="6:30" x14ac:dyDescent="0.2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X116" s="96"/>
      <c r="Y116" s="97"/>
      <c r="Z116" s="97">
        <f>X116/Z112*Y116</f>
        <v>0</v>
      </c>
      <c r="AA116" s="109"/>
      <c r="AB116" s="96">
        <v>6700</v>
      </c>
      <c r="AC116" s="97">
        <v>3.33</v>
      </c>
      <c r="AD116" s="97">
        <f>AB116/AD112*AC116</f>
        <v>0.3226184279021343</v>
      </c>
    </row>
    <row r="117" spans="6:30" x14ac:dyDescent="0.2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X117" s="100">
        <f>Z112-X114-X115-X116</f>
        <v>8040</v>
      </c>
      <c r="Y117" s="97">
        <f>80/0.71</f>
        <v>112.67605633802818</v>
      </c>
      <c r="Z117" s="97">
        <f>X117/Z112*Y117</f>
        <v>100.21189081391002</v>
      </c>
      <c r="AA117" s="109"/>
      <c r="AB117" s="100">
        <f>AD112-AB114-AB115-AB116</f>
        <v>52873</v>
      </c>
      <c r="AC117" s="97">
        <v>2.5</v>
      </c>
      <c r="AD117" s="97">
        <f>AB117/AD112*AC117</f>
        <v>1.9113670541963099</v>
      </c>
    </row>
    <row r="118" spans="6:30" x14ac:dyDescent="0.2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X118" s="100">
        <f>SUM(X114:X117)</f>
        <v>9040</v>
      </c>
      <c r="Z118" s="98">
        <f>SUM(Z114:Z117)</f>
        <v>111.21963417674188</v>
      </c>
      <c r="AA118" s="109"/>
      <c r="AB118" s="100">
        <f>SUM(AB114:AB117)</f>
        <v>69156</v>
      </c>
      <c r="AD118" s="98">
        <f>SUM(AD114:AD117)</f>
        <v>2.6101712071259184</v>
      </c>
    </row>
    <row r="119" spans="6:30" x14ac:dyDescent="0.2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AA119" s="109"/>
    </row>
    <row r="120" spans="6:30" x14ac:dyDescent="0.2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6:30" x14ac:dyDescent="0.2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6:30" x14ac:dyDescent="0.2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6:30" x14ac:dyDescent="0.2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6:30" x14ac:dyDescent="0.2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6:30" x14ac:dyDescent="0.2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6:30" x14ac:dyDescent="0.2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6:30" x14ac:dyDescent="0.2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6:30" x14ac:dyDescent="0.2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6:21" x14ac:dyDescent="0.2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6:21" x14ac:dyDescent="0.2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6:21" x14ac:dyDescent="0.2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6:21" x14ac:dyDescent="0.2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6:21" x14ac:dyDescent="0.2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6:21" x14ac:dyDescent="0.2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6:21" x14ac:dyDescent="0.2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6:21" x14ac:dyDescent="0.2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6:21" x14ac:dyDescent="0.2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6:21" x14ac:dyDescent="0.2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6:21" x14ac:dyDescent="0.2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6:21" x14ac:dyDescent="0.2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6:21" x14ac:dyDescent="0.2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6:21" x14ac:dyDescent="0.2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6:21" x14ac:dyDescent="0.2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6:21" x14ac:dyDescent="0.2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6:21" x14ac:dyDescent="0.2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6:21" x14ac:dyDescent="0.2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6:21" x14ac:dyDescent="0.2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6:21" x14ac:dyDescent="0.2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6:21" x14ac:dyDescent="0.2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6:21" x14ac:dyDescent="0.2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6:21" x14ac:dyDescent="0.2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6:21" x14ac:dyDescent="0.2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6:21" x14ac:dyDescent="0.2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6:21" x14ac:dyDescent="0.2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6:21" x14ac:dyDescent="0.2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6:21" x14ac:dyDescent="0.2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6:21" x14ac:dyDescent="0.2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6:21" x14ac:dyDescent="0.2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6:21" x14ac:dyDescent="0.2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6:21" x14ac:dyDescent="0.2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6:21" x14ac:dyDescent="0.2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6:21" x14ac:dyDescent="0.2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6:21" x14ac:dyDescent="0.2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6:21" x14ac:dyDescent="0.2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6:21" x14ac:dyDescent="0.2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6:21" x14ac:dyDescent="0.2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6:21" x14ac:dyDescent="0.2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6:21" x14ac:dyDescent="0.2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6:21" x14ac:dyDescent="0.2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6:21" x14ac:dyDescent="0.2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6:21" x14ac:dyDescent="0.2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6:21" x14ac:dyDescent="0.2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6:21" x14ac:dyDescent="0.2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6:21" x14ac:dyDescent="0.2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6:21" x14ac:dyDescent="0.2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6:21" x14ac:dyDescent="0.2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6:21" x14ac:dyDescent="0.2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6:21" x14ac:dyDescent="0.2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6:21" x14ac:dyDescent="0.2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6:21" x14ac:dyDescent="0.2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6:21" x14ac:dyDescent="0.2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6:21" x14ac:dyDescent="0.2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6:21" x14ac:dyDescent="0.2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6:21" x14ac:dyDescent="0.2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6:21" x14ac:dyDescent="0.2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6:21" x14ac:dyDescent="0.2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6:21" x14ac:dyDescent="0.2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6:21" x14ac:dyDescent="0.2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6:21" x14ac:dyDescent="0.2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6:21" x14ac:dyDescent="0.2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6:21" x14ac:dyDescent="0.2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6:21" x14ac:dyDescent="0.2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6:21" x14ac:dyDescent="0.2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6:21" x14ac:dyDescent="0.2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6:21" x14ac:dyDescent="0.2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6:21" x14ac:dyDescent="0.2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6:21" x14ac:dyDescent="0.2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6:21" x14ac:dyDescent="0.2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6:21" x14ac:dyDescent="0.2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6:21" x14ac:dyDescent="0.2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6:21" x14ac:dyDescent="0.2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6:21" x14ac:dyDescent="0.2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6:21" x14ac:dyDescent="0.2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6:21" x14ac:dyDescent="0.2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6:21" x14ac:dyDescent="0.2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6:21" x14ac:dyDescent="0.2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6:21" x14ac:dyDescent="0.2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6:21" x14ac:dyDescent="0.2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6:21" x14ac:dyDescent="0.2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6:21" x14ac:dyDescent="0.2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6:21" x14ac:dyDescent="0.2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6:21" x14ac:dyDescent="0.2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6:21" x14ac:dyDescent="0.2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6:21" x14ac:dyDescent="0.2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6:21" x14ac:dyDescent="0.2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6:21" x14ac:dyDescent="0.2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6:21" x14ac:dyDescent="0.2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6:21" x14ac:dyDescent="0.2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6:21" x14ac:dyDescent="0.2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6:21" x14ac:dyDescent="0.2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6:21" x14ac:dyDescent="0.2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6:21" x14ac:dyDescent="0.2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6:21" x14ac:dyDescent="0.2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6:21" x14ac:dyDescent="0.2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6:21" x14ac:dyDescent="0.2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6:21" x14ac:dyDescent="0.2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6:21" x14ac:dyDescent="0.2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6:21" x14ac:dyDescent="0.2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6:21" x14ac:dyDescent="0.2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6:21" x14ac:dyDescent="0.2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6:21" x14ac:dyDescent="0.2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6:21" x14ac:dyDescent="0.2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6:21" x14ac:dyDescent="0.2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6:21" x14ac:dyDescent="0.2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6:21" x14ac:dyDescent="0.2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6:21" x14ac:dyDescent="0.2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6:21" x14ac:dyDescent="0.2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6:21" x14ac:dyDescent="0.2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6:21" x14ac:dyDescent="0.2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6:21" x14ac:dyDescent="0.2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6:21" x14ac:dyDescent="0.2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6:21" x14ac:dyDescent="0.2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6:21" x14ac:dyDescent="0.2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6:21" x14ac:dyDescent="0.2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6:21" x14ac:dyDescent="0.2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6:21" x14ac:dyDescent="0.2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6:21" x14ac:dyDescent="0.2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6:21" x14ac:dyDescent="0.2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6:21" x14ac:dyDescent="0.2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6:21" x14ac:dyDescent="0.2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6:21" x14ac:dyDescent="0.2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6:21" x14ac:dyDescent="0.2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6:21" x14ac:dyDescent="0.2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6:21" x14ac:dyDescent="0.2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6:21" x14ac:dyDescent="0.2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6:21" x14ac:dyDescent="0.2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6:21" x14ac:dyDescent="0.2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6:21" x14ac:dyDescent="0.2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6:21" x14ac:dyDescent="0.2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6:21" x14ac:dyDescent="0.2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6:21" x14ac:dyDescent="0.2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6:21" x14ac:dyDescent="0.2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6:21" x14ac:dyDescent="0.2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6:21" x14ac:dyDescent="0.2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6:21" x14ac:dyDescent="0.2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6:21" x14ac:dyDescent="0.2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6:21" x14ac:dyDescent="0.2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6:21" x14ac:dyDescent="0.2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6:21" x14ac:dyDescent="0.2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6:21" x14ac:dyDescent="0.2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6:21" x14ac:dyDescent="0.2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6:21" x14ac:dyDescent="0.2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6:21" x14ac:dyDescent="0.2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6:21" x14ac:dyDescent="0.2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6:21" x14ac:dyDescent="0.2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6:21" x14ac:dyDescent="0.2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6:21" x14ac:dyDescent="0.2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6:21" x14ac:dyDescent="0.2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6:21" x14ac:dyDescent="0.2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6:21" x14ac:dyDescent="0.2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6:21" x14ac:dyDescent="0.2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6:21" x14ac:dyDescent="0.2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6:21" x14ac:dyDescent="0.2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6:21" x14ac:dyDescent="0.2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6:21" x14ac:dyDescent="0.2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6:21" x14ac:dyDescent="0.2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6:21" x14ac:dyDescent="0.2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6:21" x14ac:dyDescent="0.2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6:21" x14ac:dyDescent="0.2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6:21" x14ac:dyDescent="0.2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6:21" x14ac:dyDescent="0.2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6:21" x14ac:dyDescent="0.2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6:21" x14ac:dyDescent="0.2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6:21" x14ac:dyDescent="0.2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6:21" x14ac:dyDescent="0.2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6:21" x14ac:dyDescent="0.2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6:21" x14ac:dyDescent="0.2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6:21" x14ac:dyDescent="0.2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6:21" x14ac:dyDescent="0.2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6:21" x14ac:dyDescent="0.2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6:21" x14ac:dyDescent="0.2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6:21" x14ac:dyDescent="0.2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6:21" x14ac:dyDescent="0.2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6:21" x14ac:dyDescent="0.2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6:21" x14ac:dyDescent="0.2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6:21" x14ac:dyDescent="0.2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6:21" x14ac:dyDescent="0.2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6:21" x14ac:dyDescent="0.2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6:21" x14ac:dyDescent="0.2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6:21" x14ac:dyDescent="0.2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6:21" x14ac:dyDescent="0.2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6:21" x14ac:dyDescent="0.2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6:21" x14ac:dyDescent="0.2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6:21" x14ac:dyDescent="0.2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6:21" x14ac:dyDescent="0.2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6:21" x14ac:dyDescent="0.2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6:21" x14ac:dyDescent="0.2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6:21" x14ac:dyDescent="0.2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6:21" x14ac:dyDescent="0.2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6:21" x14ac:dyDescent="0.2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6:21" x14ac:dyDescent="0.2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6:21" x14ac:dyDescent="0.2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6:21" x14ac:dyDescent="0.2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6:21" x14ac:dyDescent="0.2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6:21" x14ac:dyDescent="0.2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6:21" x14ac:dyDescent="0.2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6:21" x14ac:dyDescent="0.2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6:21" x14ac:dyDescent="0.2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6:21" x14ac:dyDescent="0.2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6:21" x14ac:dyDescent="0.2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6:21" x14ac:dyDescent="0.2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6:21" x14ac:dyDescent="0.2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6:21" x14ac:dyDescent="0.2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6:21" x14ac:dyDescent="0.2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6:21" x14ac:dyDescent="0.2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6:21" x14ac:dyDescent="0.2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6:21" x14ac:dyDescent="0.2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6:21" x14ac:dyDescent="0.2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6:21" x14ac:dyDescent="0.2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6:21" x14ac:dyDescent="0.2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6:21" x14ac:dyDescent="0.2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6:21" x14ac:dyDescent="0.2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6:21" x14ac:dyDescent="0.2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6:21" x14ac:dyDescent="0.2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6:21" x14ac:dyDescent="0.2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6:21" x14ac:dyDescent="0.2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6:21" x14ac:dyDescent="0.2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6:21" x14ac:dyDescent="0.2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6:21" x14ac:dyDescent="0.2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6:21" x14ac:dyDescent="0.2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6:21" x14ac:dyDescent="0.2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6:21" x14ac:dyDescent="0.2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6:21" x14ac:dyDescent="0.2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6:21" x14ac:dyDescent="0.2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6:21" x14ac:dyDescent="0.2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6:21" x14ac:dyDescent="0.2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6:21" x14ac:dyDescent="0.2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6:21" x14ac:dyDescent="0.2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6:21" x14ac:dyDescent="0.2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6:21" x14ac:dyDescent="0.2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6:21" x14ac:dyDescent="0.2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6:21" x14ac:dyDescent="0.2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6:21" x14ac:dyDescent="0.2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6:21" x14ac:dyDescent="0.2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6:21" x14ac:dyDescent="0.2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6:21" x14ac:dyDescent="0.2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6:21" x14ac:dyDescent="0.2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6:21" x14ac:dyDescent="0.2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6:21" x14ac:dyDescent="0.2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6:21" x14ac:dyDescent="0.2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6:21" x14ac:dyDescent="0.2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6:21" x14ac:dyDescent="0.2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6:21" x14ac:dyDescent="0.2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6:21" x14ac:dyDescent="0.2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6:21" x14ac:dyDescent="0.2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6:21" x14ac:dyDescent="0.2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6:21" x14ac:dyDescent="0.2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6:21" x14ac:dyDescent="0.2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6:21" x14ac:dyDescent="0.2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6:21" x14ac:dyDescent="0.2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6:21" x14ac:dyDescent="0.2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6:21" x14ac:dyDescent="0.2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6:21" x14ac:dyDescent="0.2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6:21" x14ac:dyDescent="0.2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6:21" x14ac:dyDescent="0.2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6:21" x14ac:dyDescent="0.2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6:21" x14ac:dyDescent="0.2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6:21" x14ac:dyDescent="0.2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6:21" x14ac:dyDescent="0.2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6:21" x14ac:dyDescent="0.2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6:21" x14ac:dyDescent="0.2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6:21" x14ac:dyDescent="0.2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6:21" x14ac:dyDescent="0.2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6:21" x14ac:dyDescent="0.2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6:21" x14ac:dyDescent="0.2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6:21" x14ac:dyDescent="0.2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6:21" x14ac:dyDescent="0.2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6:21" x14ac:dyDescent="0.2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6:21" x14ac:dyDescent="0.2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6:21" x14ac:dyDescent="0.2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6:21" x14ac:dyDescent="0.2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6:21" x14ac:dyDescent="0.2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6:21" x14ac:dyDescent="0.2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6:21" x14ac:dyDescent="0.2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6:21" x14ac:dyDescent="0.2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6:21" x14ac:dyDescent="0.2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6:21" x14ac:dyDescent="0.2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6:21" x14ac:dyDescent="0.2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6:21" x14ac:dyDescent="0.2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6:21" x14ac:dyDescent="0.2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6:21" x14ac:dyDescent="0.2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6:21" x14ac:dyDescent="0.2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6:21" x14ac:dyDescent="0.2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6:21" x14ac:dyDescent="0.2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</sheetData>
  <mergeCells count="8">
    <mergeCell ref="F3:J3"/>
    <mergeCell ref="I4:U4"/>
    <mergeCell ref="V47:W47"/>
    <mergeCell ref="I63:K63"/>
    <mergeCell ref="M63:T63"/>
    <mergeCell ref="I54:M54"/>
    <mergeCell ref="O54:S54"/>
    <mergeCell ref="O3:S3"/>
  </mergeCells>
  <phoneticPr fontId="0" type="noConversion"/>
  <pageMargins left="0.75" right="0.75" top="0.61" bottom="1" header="0.5" footer="0.5"/>
  <pageSetup scale="51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AHC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TBHM528</dc:creator>
  <cp:lastModifiedBy>Daniel Steffens</cp:lastModifiedBy>
  <cp:lastPrinted>2012-07-28T18:40:27Z</cp:lastPrinted>
  <dcterms:created xsi:type="dcterms:W3CDTF">2000-09-21T14:52:48Z</dcterms:created>
  <dcterms:modified xsi:type="dcterms:W3CDTF">2026-07-10T19:54:10Z</dcterms:modified>
</cp:coreProperties>
</file>