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mall Cap Growth Portfolio\"/>
    </mc:Choice>
  </mc:AlternateContent>
  <xr:revisionPtr revIDLastSave="0" documentId="13_ncr:1_{D33367D5-DC82-4EDF-92D8-9608F7E6549A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3" i="1" l="1"/>
  <c r="P43" i="1"/>
  <c r="Q17" i="1"/>
  <c r="P17" i="1"/>
  <c r="O17" i="1"/>
  <c r="T17" i="1"/>
  <c r="T49" i="1"/>
  <c r="T48" i="1"/>
  <c r="T47" i="1"/>
  <c r="Q49" i="1"/>
  <c r="Q48" i="1"/>
  <c r="Q47" i="1"/>
  <c r="P48" i="1"/>
  <c r="P47" i="1"/>
  <c r="O49" i="1"/>
  <c r="O48" i="1"/>
  <c r="O47" i="1"/>
  <c r="N51" i="1"/>
  <c r="N43" i="1"/>
  <c r="P49" i="1"/>
  <c r="O16" i="1"/>
  <c r="P16" i="1"/>
  <c r="Q16" i="1"/>
  <c r="T16" i="1"/>
  <c r="K51" i="1"/>
  <c r="J57" i="1"/>
  <c r="I57" i="1"/>
  <c r="H57" i="1"/>
  <c r="L55" i="1"/>
  <c r="L54" i="1"/>
  <c r="L53" i="1"/>
  <c r="J51" i="1"/>
  <c r="I51" i="1"/>
  <c r="H51" i="1"/>
  <c r="L49" i="1"/>
  <c r="L48" i="1"/>
  <c r="L40" i="1"/>
  <c r="L35" i="1"/>
  <c r="L31" i="1"/>
  <c r="L30" i="1"/>
  <c r="L29" i="1"/>
  <c r="L28" i="1"/>
  <c r="L27" i="1"/>
  <c r="J24" i="1"/>
  <c r="I24" i="1"/>
  <c r="H24" i="1"/>
  <c r="L21" i="1"/>
  <c r="L20" i="1"/>
  <c r="L19" i="1"/>
  <c r="L18" i="1"/>
  <c r="L17" i="1"/>
  <c r="J13" i="1"/>
  <c r="J33" i="1" s="1"/>
  <c r="J38" i="1" s="1"/>
  <c r="I13" i="1"/>
  <c r="I33" i="1" s="1"/>
  <c r="I38" i="1" s="1"/>
  <c r="H13" i="1"/>
  <c r="H33" i="1" s="1"/>
  <c r="H38" i="1" s="1"/>
  <c r="L11" i="1"/>
  <c r="F57" i="1"/>
  <c r="E57" i="1"/>
  <c r="E51" i="1"/>
  <c r="E44" i="1"/>
  <c r="E24" i="1"/>
  <c r="E13" i="1"/>
  <c r="E33" i="1" s="1"/>
  <c r="E38" i="1" s="1"/>
  <c r="E41" i="1" s="1"/>
  <c r="K57" i="1" l="1"/>
  <c r="L47" i="1"/>
  <c r="L51" i="1" s="1"/>
  <c r="K24" i="1"/>
  <c r="L16" i="1"/>
  <c r="L24" i="1" s="1"/>
  <c r="J41" i="1"/>
  <c r="J43" i="1"/>
  <c r="J44" i="1" s="1"/>
  <c r="I41" i="1"/>
  <c r="I43" i="1"/>
  <c r="I44" i="1" s="1"/>
  <c r="H41" i="1"/>
  <c r="H43" i="1"/>
  <c r="L57" i="1" l="1"/>
  <c r="L10" i="1"/>
  <c r="H44" i="1"/>
  <c r="R40" i="1"/>
  <c r="P105" i="1"/>
  <c r="P108" i="1" s="1"/>
  <c r="K13" i="1" l="1"/>
  <c r="K33" i="1" s="1"/>
  <c r="L9" i="1"/>
  <c r="L13" i="1" s="1"/>
  <c r="L33" i="1" s="1"/>
  <c r="F51" i="1"/>
  <c r="L52" i="1" s="1"/>
  <c r="F44" i="1"/>
  <c r="F24" i="1"/>
  <c r="F13" i="1"/>
  <c r="W98" i="1"/>
  <c r="W101" i="1" l="1"/>
  <c r="U102" i="1"/>
  <c r="W100" i="1"/>
  <c r="F33" i="1"/>
  <c r="F38" i="1" s="1"/>
  <c r="F41" i="1" s="1"/>
  <c r="L36" i="1" l="1"/>
  <c r="L38" i="1" s="1"/>
  <c r="L41" i="1" s="1"/>
  <c r="K38" i="1"/>
  <c r="K43" i="1" s="1"/>
  <c r="U103" i="1"/>
  <c r="W102" i="1"/>
  <c r="W103" i="1" s="1"/>
  <c r="T53" i="1" s="1"/>
  <c r="K41" i="1" l="1"/>
  <c r="K44" i="1" l="1"/>
  <c r="L44" i="1" s="1"/>
  <c r="L43" i="1"/>
  <c r="Y40" i="1"/>
  <c r="T57" i="1" l="1"/>
  <c r="T10" i="1" s="1"/>
  <c r="W89" i="1" l="1"/>
  <c r="U93" i="1" s="1"/>
  <c r="U94" i="1" s="1"/>
  <c r="R55" i="1"/>
  <c r="R54" i="1"/>
  <c r="R31" i="1"/>
  <c r="R30" i="1"/>
  <c r="R29" i="1"/>
  <c r="R28" i="1"/>
  <c r="R27" i="1"/>
  <c r="R21" i="1"/>
  <c r="R20" i="1"/>
  <c r="R19" i="1"/>
  <c r="R18" i="1"/>
  <c r="R11" i="1"/>
  <c r="T9" i="1" l="1"/>
  <c r="W92" i="1"/>
  <c r="W93" i="1"/>
  <c r="W91" i="1"/>
  <c r="T24" i="1" l="1"/>
  <c r="O24" i="1"/>
  <c r="P24" i="1"/>
  <c r="Q24" i="1"/>
  <c r="W94" i="1"/>
  <c r="Q53" i="1" s="1"/>
  <c r="Q57" i="1" l="1"/>
  <c r="Q10" i="1" s="1"/>
  <c r="Q9" i="1" l="1"/>
  <c r="Q13" i="1" l="1"/>
  <c r="Q33" i="1" s="1"/>
  <c r="Q36" i="1" s="1"/>
  <c r="Q38" i="1" l="1"/>
  <c r="Q41" i="1" l="1"/>
  <c r="Q44" i="1"/>
  <c r="T13" i="1" l="1"/>
  <c r="T33" i="1" s="1"/>
  <c r="T36" i="1" s="1"/>
  <c r="R17" i="1" l="1"/>
  <c r="N24" i="1"/>
  <c r="T38" i="1" l="1"/>
  <c r="T43" i="1" s="1"/>
  <c r="R16" i="1"/>
  <c r="R24" i="1" s="1"/>
  <c r="AC40" i="1" l="1"/>
  <c r="T44" i="1"/>
  <c r="T41" i="1"/>
  <c r="R35" i="1" l="1"/>
  <c r="W62" i="1" l="1"/>
  <c r="U66" i="1" l="1"/>
  <c r="W65" i="1"/>
  <c r="W64" i="1"/>
  <c r="W71" i="1"/>
  <c r="U75" i="1" s="1"/>
  <c r="W74" i="1" l="1"/>
  <c r="W73" i="1"/>
  <c r="W66" i="1"/>
  <c r="W67" i="1" s="1"/>
  <c r="N57" i="1" s="1"/>
  <c r="U67" i="1"/>
  <c r="U76" i="1"/>
  <c r="W75" i="1"/>
  <c r="W80" i="1"/>
  <c r="R49" i="1"/>
  <c r="R48" i="1"/>
  <c r="R47" i="1"/>
  <c r="W76" i="1" l="1"/>
  <c r="O53" i="1" s="1"/>
  <c r="O57" i="1" s="1"/>
  <c r="R51" i="1"/>
  <c r="W83" i="1"/>
  <c r="W82" i="1"/>
  <c r="U84" i="1"/>
  <c r="O10" i="1" l="1"/>
  <c r="O9" i="1"/>
  <c r="N13" i="1"/>
  <c r="N33" i="1" s="1"/>
  <c r="N38" i="1" s="1"/>
  <c r="T52" i="1"/>
  <c r="R52" i="1"/>
  <c r="U85" i="1"/>
  <c r="W84" i="1"/>
  <c r="W85" i="1" s="1"/>
  <c r="P53" i="1" s="1"/>
  <c r="O13" i="1" l="1"/>
  <c r="O33" i="1" s="1"/>
  <c r="N41" i="1"/>
  <c r="P57" i="1"/>
  <c r="P10" i="1" s="1"/>
  <c r="R53" i="1"/>
  <c r="O36" i="1" l="1"/>
  <c r="R57" i="1"/>
  <c r="P9" i="1"/>
  <c r="R10" i="1"/>
  <c r="N44" i="1"/>
  <c r="O38" i="1" l="1"/>
  <c r="O43" i="1" s="1"/>
  <c r="R9" i="1"/>
  <c r="R13" i="1" s="1"/>
  <c r="R33" i="1" s="1"/>
  <c r="P13" i="1"/>
  <c r="P33" i="1" s="1"/>
  <c r="P36" i="1" l="1"/>
  <c r="R36" i="1" s="1"/>
  <c r="R38" i="1" s="1"/>
  <c r="O44" i="1"/>
  <c r="O41" i="1"/>
  <c r="AA40" i="1" l="1"/>
  <c r="R41" i="1"/>
  <c r="P38" i="1"/>
  <c r="P41" i="1" l="1"/>
  <c r="R43" i="1" l="1"/>
  <c r="P44" i="1"/>
  <c r="R44" i="1" s="1"/>
  <c r="Y44" i="1" s="1"/>
</calcChain>
</file>

<file path=xl/sharedStrings.xml><?xml version="1.0" encoding="utf-8"?>
<sst xmlns="http://schemas.openxmlformats.org/spreadsheetml/2006/main" count="146" uniqueCount="105">
  <si>
    <t>US Dollars</t>
  </si>
  <si>
    <t>($Thousands)</t>
  </si>
  <si>
    <t>Actual</t>
  </si>
  <si>
    <t>Forecast</t>
  </si>
  <si>
    <t>Qtr1</t>
  </si>
  <si>
    <t>Qtr2</t>
  </si>
  <si>
    <t>Qtr3</t>
  </si>
  <si>
    <t>Qtr4</t>
  </si>
  <si>
    <t>Year</t>
  </si>
  <si>
    <t>REVENUES:</t>
  </si>
  <si>
    <t xml:space="preserve">  Oil, NGL and natural gas sales</t>
  </si>
  <si>
    <t>&lt; Forecast Revenues include effect of hedges</t>
  </si>
  <si>
    <t xml:space="preserve">  Less: Royalties</t>
  </si>
  <si>
    <t xml:space="preserve">  Other income (loss)</t>
  </si>
  <si>
    <t xml:space="preserve">    Total Revenues</t>
  </si>
  <si>
    <t>EXPENSES:</t>
  </si>
  <si>
    <t xml:space="preserve">  Production and operating expenses</t>
  </si>
  <si>
    <t xml:space="preserve">  DD&amp;A</t>
  </si>
  <si>
    <t xml:space="preserve">  Impairment</t>
  </si>
  <si>
    <t xml:space="preserve">  G&amp;A</t>
  </si>
  <si>
    <t xml:space="preserve">  Share based compensation</t>
  </si>
  <si>
    <t xml:space="preserve">  Foreign exchange (gains) losses</t>
  </si>
  <si>
    <t xml:space="preserve">   TOTAL EXPENSES</t>
  </si>
  <si>
    <t>FINANCE (GAINS) EXPENSES</t>
  </si>
  <si>
    <t xml:space="preserve">  Interest (Income) expense</t>
  </si>
  <si>
    <t xml:space="preserve">  Amortization of loan acq costs</t>
  </si>
  <si>
    <t xml:space="preserve">  Commodity derivatives - cash settlements</t>
  </si>
  <si>
    <t xml:space="preserve">  Commodity derivatives - Non-cash MTM</t>
  </si>
  <si>
    <t>NET INCOME BEFORE TAXES</t>
  </si>
  <si>
    <t>INCOME TAXES</t>
  </si>
  <si>
    <t xml:space="preserve">   Current</t>
  </si>
  <si>
    <t xml:space="preserve">   Deferred</t>
  </si>
  <si>
    <t>NET INCOME</t>
  </si>
  <si>
    <t>EBITDA</t>
  </si>
  <si>
    <t>Common Stock (THOUSANDS)</t>
  </si>
  <si>
    <t>Earnings per share</t>
  </si>
  <si>
    <t>NOTE: Current First Call Estimated EPS</t>
  </si>
  <si>
    <t>Cashflow per share (before CapEx)</t>
  </si>
  <si>
    <t>&lt; $US</t>
  </si>
  <si>
    <t>PRODUCTION</t>
  </si>
  <si>
    <t xml:space="preserve">  Crude oil (bbls.day)</t>
  </si>
  <si>
    <t xml:space="preserve">  NGLs (bbls/day)</t>
  </si>
  <si>
    <t xml:space="preserve">  Natural gas (mcf/day)</t>
  </si>
  <si>
    <t>boepd</t>
  </si>
  <si>
    <t>PRODUCT PRICES</t>
  </si>
  <si>
    <t>&lt; YOY production growth</t>
  </si>
  <si>
    <t xml:space="preserve">  Crude oil ($/bbls)</t>
  </si>
  <si>
    <t>&lt; Realized oil prices are net of cash settlements on hedges</t>
  </si>
  <si>
    <t xml:space="preserve">  NGLs ($/bbls)</t>
  </si>
  <si>
    <t xml:space="preserve">  Natural gas ($/mcf)</t>
  </si>
  <si>
    <t>Gross Revenue check (prod * ave price)</t>
  </si>
  <si>
    <t>&lt; Revenues are net of cash settlement on hedges</t>
  </si>
  <si>
    <t>Realized oil price</t>
  </si>
  <si>
    <t>Oil Production per day</t>
  </si>
  <si>
    <t>Hedged Vol</t>
  </si>
  <si>
    <t>$/bbl</t>
  </si>
  <si>
    <t>Kolibri Global Energy Inc. (KEI.TO and KGEI)</t>
  </si>
  <si>
    <t xml:space="preserve">  Accretion and Interest on lease liabiity</t>
  </si>
  <si>
    <t>First Call's PT &gt;&gt;&gt;</t>
  </si>
  <si>
    <t xml:space="preserve">   with $1.85/bbl differential on oil for trucking the oil out</t>
  </si>
  <si>
    <t xml:space="preserve">  Stock buybacks started in 2025</t>
  </si>
  <si>
    <t>Per col L</t>
  </si>
  <si>
    <t>Per col R</t>
  </si>
  <si>
    <t>Per col T</t>
  </si>
  <si>
    <t>PV10 Value per year-end reserve report</t>
  </si>
  <si>
    <t xml:space="preserve">  Add: Current Assets </t>
  </si>
  <si>
    <t xml:space="preserve">  Less: Current Liabilities</t>
  </si>
  <si>
    <t xml:space="preserve">  Less: Non-current Liabilities</t>
  </si>
  <si>
    <t xml:space="preserve">  Common Stock outstanding</t>
  </si>
  <si>
    <t>PV10 Net Asset Value per share</t>
  </si>
  <si>
    <t>&lt; Based on 1P reserves</t>
  </si>
  <si>
    <t>Revenue include cash settlements on hedges &gt;&gt;&gt;</t>
  </si>
  <si>
    <t>&lt; $12.00/boe</t>
  </si>
  <si>
    <t>&lt; First Call Revenue Forecasts</t>
  </si>
  <si>
    <t>&lt; Exxon markets all Ngas and NGLs and KGEI gets NYMEX - $0.35/mcf</t>
  </si>
  <si>
    <t>&lt; First Call EPS Forecasts (just 1 analyst)</t>
  </si>
  <si>
    <t>&lt; 25.6% &lt; Fed + Okla income taxes</t>
  </si>
  <si>
    <t>4.46 wells completed late-Q2 and 4 completed in early Dec</t>
  </si>
  <si>
    <t>The 0.46 Forguson  well is a JV with Exxon</t>
  </si>
  <si>
    <t xml:space="preserve">Net Income and Cash Flow 2023 - 2027 </t>
  </si>
  <si>
    <t>PV10 Net Asset Value as of December 31, 2025</t>
  </si>
  <si>
    <t>The Company’s Total Proved Reserves for 2025 increased by 1% to 40.8 million barrels of oil equivalent, from 2024 with an NPV10 of $362.5 million, according to the Company’s December 31, 2025, independent reserves evaluation</t>
  </si>
  <si>
    <t>Per 12/31/2025 Balance Sheet ($Thousands)</t>
  </si>
  <si>
    <t>Q1 2026</t>
  </si>
  <si>
    <t>Q2 2026</t>
  </si>
  <si>
    <t>Q3 2026</t>
  </si>
  <si>
    <t>Q4 2026</t>
  </si>
  <si>
    <t>&lt; 13.5% ngas</t>
  </si>
  <si>
    <t xml:space="preserve">&lt; $6.75/ boe </t>
  </si>
  <si>
    <t xml:space="preserve">&lt; Valuation of 5 X 2025 to 2027 CFPS = </t>
  </si>
  <si>
    <t>&lt; Free cash flow paying down debt</t>
  </si>
  <si>
    <r>
      <t>&lt; 21.5% royalty in Oklahoma on actual selling price</t>
    </r>
    <r>
      <rPr>
        <b/>
        <sz val="10"/>
        <color rgb="FFC00000"/>
        <rFont val="Arial"/>
        <family val="2"/>
      </rPr>
      <t xml:space="preserve"> (not on hedge settlements)</t>
    </r>
  </si>
  <si>
    <t>N/A</t>
  </si>
  <si>
    <t>Lots of "Running Room"</t>
  </si>
  <si>
    <t>Q1 Mix</t>
  </si>
  <si>
    <t>&lt; 13.43%</t>
  </si>
  <si>
    <t>&lt; 12.89%</t>
  </si>
  <si>
    <t>&lt; 73.68%</t>
  </si>
  <si>
    <t>2H 2026 Mix</t>
  </si>
  <si>
    <t>&lt; 72.0% oil</t>
  </si>
  <si>
    <t>&lt; 14.5% NGLs</t>
  </si>
  <si>
    <t>&lt; Common stock o/s at end of each Qtr</t>
  </si>
  <si>
    <t>(last updated 6/29/2026)</t>
  </si>
  <si>
    <t>&lt; 2026 production guidance 4,700 to 5,200 Boepd (June 29 Update)</t>
  </si>
  <si>
    <t xml:space="preserve">&lt; Capex guidance for 2026 is $39 to $43 million Cdn (6/29)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</si>
</sst>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&quot;$&quot;#,##0.0_);[Red]\(&quot;$&quot;#,##0.0\)"/>
    <numFmt numFmtId="168" formatCode="#,##0.0_);[Red]\(#,##0.0\)"/>
    <numFmt numFmtId="169" formatCode="_(* #,##0.0_);_(* \(#,##0.0\);_(* &quot;-&quot;??_);_(@_)"/>
    <numFmt numFmtId="170" formatCode="_(&quot;$&quot;* #,##0_);_(&quot;$&quot;* \(#,##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i/>
      <sz val="10"/>
      <color rgb="FFC00000"/>
      <name val="Arial"/>
      <family val="2"/>
    </font>
    <font>
      <b/>
      <i/>
      <sz val="9"/>
      <color rgb="FFC00000"/>
      <name val="Arial"/>
      <family val="2"/>
    </font>
    <font>
      <b/>
      <i/>
      <sz val="1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u/>
      <sz val="10"/>
      <color rgb="FFC00000"/>
      <name val="Arial"/>
      <family val="2"/>
    </font>
    <font>
      <sz val="10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0">
    <xf numFmtId="0" fontId="0" fillId="0" borderId="0" xfId="0"/>
    <xf numFmtId="38" fontId="0" fillId="0" borderId="0" xfId="0" applyNumberFormat="1"/>
    <xf numFmtId="0" fontId="0" fillId="0" borderId="1" xfId="0" applyBorder="1"/>
    <xf numFmtId="38" fontId="0" fillId="0" borderId="1" xfId="0" applyNumberFormat="1" applyBorder="1"/>
    <xf numFmtId="38" fontId="0" fillId="0" borderId="2" xfId="0" applyNumberFormat="1" applyBorder="1"/>
    <xf numFmtId="40" fontId="0" fillId="0" borderId="1" xfId="0" applyNumberFormat="1" applyBorder="1"/>
    <xf numFmtId="8" fontId="0" fillId="0" borderId="1" xfId="0" applyNumberFormat="1" applyBorder="1"/>
    <xf numFmtId="0" fontId="0" fillId="2" borderId="0" xfId="0" applyFill="1"/>
    <xf numFmtId="0" fontId="3" fillId="2" borderId="5" xfId="0" applyFont="1" applyFill="1" applyBorder="1" applyAlignment="1">
      <alignment horizontal="center"/>
    </xf>
    <xf numFmtId="6" fontId="0" fillId="2" borderId="0" xfId="0" applyNumberFormat="1" applyFill="1"/>
    <xf numFmtId="38" fontId="0" fillId="2" borderId="0" xfId="0" applyNumberFormat="1" applyFill="1"/>
    <xf numFmtId="38" fontId="0" fillId="2" borderId="5" xfId="0" applyNumberFormat="1" applyFill="1" applyBorder="1"/>
    <xf numFmtId="38" fontId="2" fillId="2" borderId="6" xfId="0" applyNumberFormat="1" applyFont="1" applyFill="1" applyBorder="1" applyAlignment="1">
      <alignment horizontal="center"/>
    </xf>
    <xf numFmtId="8" fontId="0" fillId="2" borderId="7" xfId="0" applyNumberFormat="1" applyFill="1" applyBorder="1"/>
    <xf numFmtId="8" fontId="0" fillId="2" borderId="0" xfId="0" applyNumberFormat="1" applyFill="1"/>
    <xf numFmtId="40" fontId="0" fillId="2" borderId="0" xfId="0" applyNumberFormat="1" applyFill="1"/>
    <xf numFmtId="0" fontId="0" fillId="0" borderId="9" xfId="0" applyBorder="1"/>
    <xf numFmtId="38" fontId="0" fillId="0" borderId="9" xfId="0" applyNumberFormat="1" applyBorder="1"/>
    <xf numFmtId="40" fontId="0" fillId="0" borderId="9" xfId="0" applyNumberFormat="1" applyBorder="1"/>
    <xf numFmtId="0" fontId="0" fillId="0" borderId="11" xfId="0" applyBorder="1"/>
    <xf numFmtId="0" fontId="2" fillId="0" borderId="0" xfId="0" applyFont="1"/>
    <xf numFmtId="0" fontId="0" fillId="3" borderId="11" xfId="0" applyFill="1" applyBorder="1"/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4" fontId="0" fillId="0" borderId="1" xfId="1" applyFont="1" applyBorder="1"/>
    <xf numFmtId="0" fontId="2" fillId="3" borderId="0" xfId="0" applyFont="1" applyFill="1"/>
    <xf numFmtId="0" fontId="0" fillId="3" borderId="0" xfId="0" applyFill="1"/>
    <xf numFmtId="44" fontId="2" fillId="3" borderId="0" xfId="1" applyFont="1" applyFill="1"/>
    <xf numFmtId="38" fontId="2" fillId="0" borderId="0" xfId="0" applyNumberFormat="1" applyFont="1"/>
    <xf numFmtId="0" fontId="4" fillId="4" borderId="0" xfId="0" applyFont="1" applyFill="1"/>
    <xf numFmtId="8" fontId="0" fillId="3" borderId="13" xfId="0" applyNumberFormat="1" applyFill="1" applyBorder="1"/>
    <xf numFmtId="0" fontId="1" fillId="0" borderId="0" xfId="0" applyFont="1"/>
    <xf numFmtId="0" fontId="1" fillId="0" borderId="9" xfId="0" applyFont="1" applyBorder="1"/>
    <xf numFmtId="44" fontId="0" fillId="0" borderId="0" xfId="1" applyFont="1"/>
    <xf numFmtId="38" fontId="1" fillId="0" borderId="0" xfId="0" applyNumberFormat="1" applyFont="1"/>
    <xf numFmtId="0" fontId="1" fillId="0" borderId="0" xfId="0" applyFont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4" fontId="2" fillId="0" borderId="0" xfId="1" applyFont="1"/>
    <xf numFmtId="0" fontId="2" fillId="3" borderId="12" xfId="0" applyFont="1" applyFill="1" applyBorder="1" applyAlignment="1">
      <alignment horizontal="center"/>
    </xf>
    <xf numFmtId="0" fontId="7" fillId="0" borderId="0" xfId="0" applyFont="1"/>
    <xf numFmtId="166" fontId="0" fillId="0" borderId="0" xfId="3" applyNumberFormat="1" applyFont="1" applyBorder="1"/>
    <xf numFmtId="44" fontId="1" fillId="0" borderId="0" xfId="1" applyFont="1" applyBorder="1"/>
    <xf numFmtId="44" fontId="0" fillId="0" borderId="0" xfId="1" applyFont="1" applyBorder="1"/>
    <xf numFmtId="166" fontId="1" fillId="0" borderId="0" xfId="3" applyNumberFormat="1" applyFont="1" applyBorder="1"/>
    <xf numFmtId="44" fontId="2" fillId="0" borderId="0" xfId="1" applyFont="1" applyBorder="1"/>
    <xf numFmtId="168" fontId="0" fillId="2" borderId="0" xfId="3" applyNumberFormat="1" applyFont="1" applyFill="1"/>
    <xf numFmtId="8" fontId="8" fillId="0" borderId="9" xfId="0" applyNumberFormat="1" applyFont="1" applyBorder="1"/>
    <xf numFmtId="167" fontId="0" fillId="2" borderId="0" xfId="0" applyNumberFormat="1" applyFill="1"/>
    <xf numFmtId="44" fontId="0" fillId="0" borderId="9" xfId="1" applyFont="1" applyBorder="1"/>
    <xf numFmtId="8" fontId="0" fillId="0" borderId="9" xfId="0" applyNumberFormat="1" applyBorder="1"/>
    <xf numFmtId="44" fontId="1" fillId="0" borderId="1" xfId="1" applyFill="1" applyBorder="1" applyAlignment="1">
      <alignment horizontal="center"/>
    </xf>
    <xf numFmtId="0" fontId="6" fillId="0" borderId="0" xfId="0" applyFont="1"/>
    <xf numFmtId="6" fontId="0" fillId="0" borderId="1" xfId="0" applyNumberFormat="1" applyBorder="1"/>
    <xf numFmtId="166" fontId="0" fillId="0" borderId="1" xfId="3" applyNumberFormat="1" applyFont="1" applyBorder="1"/>
    <xf numFmtId="166" fontId="0" fillId="0" borderId="2" xfId="3" applyNumberFormat="1" applyFont="1" applyBorder="1"/>
    <xf numFmtId="38" fontId="0" fillId="0" borderId="1" xfId="3" applyNumberFormat="1" applyFont="1" applyBorder="1"/>
    <xf numFmtId="38" fontId="0" fillId="0" borderId="2" xfId="3" applyNumberFormat="1" applyFont="1" applyBorder="1"/>
    <xf numFmtId="6" fontId="1" fillId="0" borderId="1" xfId="1" applyNumberFormat="1" applyBorder="1"/>
    <xf numFmtId="6" fontId="0" fillId="0" borderId="9" xfId="0" applyNumberFormat="1" applyBorder="1"/>
    <xf numFmtId="6" fontId="0" fillId="2" borderId="7" xfId="0" applyNumberFormat="1" applyFill="1" applyBorder="1"/>
    <xf numFmtId="166" fontId="0" fillId="0" borderId="9" xfId="3" applyNumberFormat="1" applyFont="1" applyBorder="1"/>
    <xf numFmtId="169" fontId="2" fillId="2" borderId="6" xfId="3" applyNumberFormat="1" applyFont="1" applyFill="1" applyBorder="1" applyAlignment="1">
      <alignment horizontal="center"/>
    </xf>
    <xf numFmtId="38" fontId="0" fillId="2" borderId="0" xfId="3" applyNumberFormat="1" applyFont="1" applyFill="1"/>
    <xf numFmtId="38" fontId="0" fillId="0" borderId="9" xfId="3" applyNumberFormat="1" applyFont="1" applyBorder="1"/>
    <xf numFmtId="38" fontId="0" fillId="2" borderId="5" xfId="3" applyNumberFormat="1" applyFont="1" applyFill="1" applyBorder="1"/>
    <xf numFmtId="38" fontId="0" fillId="0" borderId="10" xfId="3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6" fontId="0" fillId="0" borderId="0" xfId="0" applyNumberFormat="1"/>
    <xf numFmtId="0" fontId="9" fillId="0" borderId="0" xfId="0" applyFont="1"/>
    <xf numFmtId="44" fontId="9" fillId="0" borderId="0" xfId="1" applyFont="1" applyFill="1"/>
    <xf numFmtId="0" fontId="2" fillId="3" borderId="1" xfId="0" applyFont="1" applyFill="1" applyBorder="1" applyAlignment="1">
      <alignment horizontal="center"/>
    </xf>
    <xf numFmtId="44" fontId="0" fillId="0" borderId="0" xfId="1" applyFont="1" applyFill="1" applyBorder="1"/>
    <xf numFmtId="166" fontId="0" fillId="0" borderId="5" xfId="0" applyNumberFormat="1" applyBorder="1"/>
    <xf numFmtId="44" fontId="0" fillId="0" borderId="5" xfId="1" applyFont="1" applyFill="1" applyBorder="1"/>
    <xf numFmtId="44" fontId="0" fillId="0" borderId="5" xfId="1" applyFont="1" applyBorder="1"/>
    <xf numFmtId="0" fontId="6" fillId="5" borderId="0" xfId="0" applyFont="1" applyFill="1" applyAlignment="1">
      <alignment horizontal="center"/>
    </xf>
    <xf numFmtId="0" fontId="6" fillId="5" borderId="5" xfId="0" applyFont="1" applyFill="1" applyBorder="1" applyAlignment="1">
      <alignment horizontal="center"/>
    </xf>
    <xf numFmtId="6" fontId="2" fillId="5" borderId="14" xfId="0" applyNumberFormat="1" applyFont="1" applyFill="1" applyBorder="1"/>
    <xf numFmtId="0" fontId="6" fillId="4" borderId="9" xfId="0" applyFont="1" applyFill="1" applyBorder="1"/>
    <xf numFmtId="0" fontId="6" fillId="4" borderId="0" xfId="0" applyFont="1" applyFill="1"/>
    <xf numFmtId="0" fontId="0" fillId="0" borderId="0" xfId="0" applyAlignment="1">
      <alignment horizontal="center"/>
    </xf>
    <xf numFmtId="44" fontId="1" fillId="0" borderId="0" xfId="1" applyFont="1" applyFill="1"/>
    <xf numFmtId="44" fontId="2" fillId="0" borderId="0" xfId="1" applyFont="1" applyFill="1"/>
    <xf numFmtId="0" fontId="10" fillId="0" borderId="0" xfId="0" applyFont="1"/>
    <xf numFmtId="0" fontId="11" fillId="0" borderId="0" xfId="0" applyFont="1"/>
    <xf numFmtId="44" fontId="10" fillId="0" borderId="0" xfId="1" applyFont="1"/>
    <xf numFmtId="0" fontId="2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38" fontId="1" fillId="0" borderId="2" xfId="3" applyNumberFormat="1" applyFont="1" applyBorder="1"/>
    <xf numFmtId="38" fontId="1" fillId="2" borderId="5" xfId="0" applyNumberFormat="1" applyFont="1" applyFill="1" applyBorder="1"/>
    <xf numFmtId="38" fontId="1" fillId="2" borderId="5" xfId="3" applyNumberFormat="1" applyFont="1" applyFill="1" applyBorder="1"/>
    <xf numFmtId="6" fontId="1" fillId="0" borderId="1" xfId="0" applyNumberFormat="1" applyFont="1" applyBorder="1"/>
    <xf numFmtId="6" fontId="1" fillId="2" borderId="0" xfId="0" applyNumberFormat="1" applyFont="1" applyFill="1"/>
    <xf numFmtId="6" fontId="1" fillId="0" borderId="1" xfId="1" applyNumberFormat="1" applyFont="1" applyBorder="1"/>
    <xf numFmtId="164" fontId="1" fillId="3" borderId="1" xfId="0" applyNumberFormat="1" applyFont="1" applyFill="1" applyBorder="1"/>
    <xf numFmtId="164" fontId="1" fillId="2" borderId="0" xfId="0" applyNumberFormat="1" applyFont="1" applyFill="1"/>
    <xf numFmtId="38" fontId="1" fillId="0" borderId="1" xfId="0" applyNumberFormat="1" applyFont="1" applyBorder="1"/>
    <xf numFmtId="38" fontId="1" fillId="2" borderId="0" xfId="0" applyNumberFormat="1" applyFont="1" applyFill="1"/>
    <xf numFmtId="165" fontId="1" fillId="3" borderId="1" xfId="2" applyNumberFormat="1" applyFont="1" applyFill="1" applyBorder="1"/>
    <xf numFmtId="38" fontId="1" fillId="0" borderId="4" xfId="0" applyNumberFormat="1" applyFont="1" applyBorder="1"/>
    <xf numFmtId="38" fontId="1" fillId="2" borderId="8" xfId="0" applyNumberFormat="1" applyFont="1" applyFill="1" applyBorder="1"/>
    <xf numFmtId="0" fontId="0" fillId="4" borderId="0" xfId="0" applyFill="1"/>
    <xf numFmtId="38" fontId="2" fillId="0" borderId="3" xfId="0" applyNumberFormat="1" applyFont="1" applyBorder="1" applyAlignment="1">
      <alignment horizontal="center"/>
    </xf>
    <xf numFmtId="166" fontId="2" fillId="0" borderId="3" xfId="3" applyNumberFormat="1" applyFont="1" applyBorder="1" applyAlignment="1">
      <alignment horizontal="center"/>
    </xf>
    <xf numFmtId="166" fontId="1" fillId="0" borderId="0" xfId="3" applyNumberFormat="1" applyFon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6" fillId="3" borderId="0" xfId="0" applyFont="1" applyFill="1"/>
    <xf numFmtId="166" fontId="1" fillId="4" borderId="9" xfId="3" applyNumberFormat="1" applyFont="1" applyFill="1" applyBorder="1" applyAlignment="1">
      <alignment horizontal="center"/>
    </xf>
    <xf numFmtId="0" fontId="0" fillId="6" borderId="11" xfId="0" applyFill="1" applyBorder="1"/>
    <xf numFmtId="0" fontId="2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2" fillId="3" borderId="9" xfId="0" applyFont="1" applyFill="1" applyBorder="1"/>
    <xf numFmtId="0" fontId="12" fillId="3" borderId="0" xfId="0" applyFont="1" applyFill="1"/>
    <xf numFmtId="0" fontId="2" fillId="6" borderId="0" xfId="0" applyFont="1" applyFill="1" applyAlignment="1">
      <alignment horizontal="center"/>
    </xf>
    <xf numFmtId="0" fontId="13" fillId="0" borderId="0" xfId="0" applyFont="1"/>
    <xf numFmtId="38" fontId="7" fillId="0" borderId="0" xfId="0" applyNumberFormat="1" applyFont="1"/>
    <xf numFmtId="170" fontId="1" fillId="0" borderId="0" xfId="1" applyNumberFormat="1" applyFont="1"/>
    <xf numFmtId="38" fontId="1" fillId="0" borderId="5" xfId="0" applyNumberFormat="1" applyFont="1" applyBorder="1"/>
    <xf numFmtId="170" fontId="0" fillId="0" borderId="0" xfId="0" applyNumberFormat="1"/>
    <xf numFmtId="44" fontId="2" fillId="0" borderId="15" xfId="0" applyNumberFormat="1" applyFont="1" applyBorder="1"/>
    <xf numFmtId="0" fontId="3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44" fontId="16" fillId="0" borderId="0" xfId="1" applyFont="1" applyFill="1"/>
    <xf numFmtId="0" fontId="15" fillId="0" borderId="0" xfId="0" applyFont="1"/>
    <xf numFmtId="8" fontId="1" fillId="4" borderId="9" xfId="0" applyNumberFormat="1" applyFont="1" applyFill="1" applyBorder="1" applyAlignment="1">
      <alignment horizontal="center"/>
    </xf>
    <xf numFmtId="0" fontId="18" fillId="0" borderId="0" xfId="0" applyFont="1"/>
    <xf numFmtId="166" fontId="1" fillId="7" borderId="0" xfId="3" applyNumberFormat="1" applyFont="1" applyFill="1" applyBorder="1" applyAlignment="1">
      <alignment horizontal="center"/>
    </xf>
    <xf numFmtId="166" fontId="6" fillId="7" borderId="0" xfId="3" applyNumberFormat="1" applyFont="1" applyFill="1" applyBorder="1" applyAlignment="1">
      <alignment horizontal="center"/>
    </xf>
    <xf numFmtId="166" fontId="6" fillId="7" borderId="0" xfId="3" applyNumberFormat="1" applyFont="1" applyFill="1" applyBorder="1" applyAlignment="1">
      <alignment horizontal="right"/>
    </xf>
    <xf numFmtId="38" fontId="6" fillId="7" borderId="0" xfId="0" applyNumberFormat="1" applyFont="1" applyFill="1"/>
    <xf numFmtId="166" fontId="6" fillId="7" borderId="9" xfId="3" applyNumberFormat="1" applyFont="1" applyFill="1" applyBorder="1" applyAlignment="1">
      <alignment horizontal="center"/>
    </xf>
    <xf numFmtId="38" fontId="14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132</xdr:row>
      <xdr:rowOff>0</xdr:rowOff>
    </xdr:from>
    <xdr:to>
      <xdr:col>23</xdr:col>
      <xdr:colOff>293887</xdr:colOff>
      <xdr:row>154</xdr:row>
      <xdr:rowOff>113840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1404E06-CDF5-7BA5-25EC-E47B8FDF5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21745575"/>
          <a:ext cx="11104762" cy="367619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110</xdr:row>
      <xdr:rowOff>0</xdr:rowOff>
    </xdr:from>
    <xdr:to>
      <xdr:col>23</xdr:col>
      <xdr:colOff>312934</xdr:colOff>
      <xdr:row>130</xdr:row>
      <xdr:rowOff>142451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7009D18-66A7-FF67-CA24-2F7A6CCE2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18183225"/>
          <a:ext cx="11123809" cy="3380952"/>
        </a:xfrm>
        <a:prstGeom prst="rect">
          <a:avLst/>
        </a:prstGeom>
      </xdr:spPr>
    </xdr:pic>
    <xdr:clientData/>
  </xdr:twoCellAnchor>
  <xdr:twoCellAnchor editAs="oneCell">
    <xdr:from>
      <xdr:col>24</xdr:col>
      <xdr:colOff>17318</xdr:colOff>
      <xdr:row>59</xdr:row>
      <xdr:rowOff>164523</xdr:rowOff>
    </xdr:from>
    <xdr:to>
      <xdr:col>38</xdr:col>
      <xdr:colOff>2802</xdr:colOff>
      <xdr:row>82</xdr:row>
      <xdr:rowOff>155864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0ECC5B-FC9C-5B7D-766B-2590BEE48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2682" y="10165773"/>
          <a:ext cx="7744029" cy="3801341"/>
        </a:xfrm>
        <a:prstGeom prst="rect">
          <a:avLst/>
        </a:prstGeom>
      </xdr:spPr>
    </xdr:pic>
    <xdr:clientData/>
  </xdr:twoCellAnchor>
  <xdr:twoCellAnchor editAs="oneCell">
    <xdr:from>
      <xdr:col>24</xdr:col>
      <xdr:colOff>1</xdr:colOff>
      <xdr:row>107</xdr:row>
      <xdr:rowOff>77932</xdr:rowOff>
    </xdr:from>
    <xdr:to>
      <xdr:col>37</xdr:col>
      <xdr:colOff>519546</xdr:colOff>
      <xdr:row>133</xdr:row>
      <xdr:rowOff>6314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3C02F56-3132-A5D0-B9BF-2321CADC2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05365" y="18028227"/>
          <a:ext cx="7689272" cy="4223291"/>
        </a:xfrm>
        <a:prstGeom prst="rect">
          <a:avLst/>
        </a:prstGeom>
      </xdr:spPr>
    </xdr:pic>
    <xdr:clientData/>
  </xdr:twoCellAnchor>
  <xdr:twoCellAnchor editAs="oneCell">
    <xdr:from>
      <xdr:col>3</xdr:col>
      <xdr:colOff>207817</xdr:colOff>
      <xdr:row>60</xdr:row>
      <xdr:rowOff>8659</xdr:rowOff>
    </xdr:from>
    <xdr:to>
      <xdr:col>19</xdr:col>
      <xdr:colOff>755491</xdr:colOff>
      <xdr:row>90</xdr:row>
      <xdr:rowOff>129264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F78F80-DE5B-A4BD-605E-EB86F1B53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4272" y="9957954"/>
          <a:ext cx="10522946" cy="5056287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84</xdr:row>
      <xdr:rowOff>0</xdr:rowOff>
    </xdr:from>
    <xdr:to>
      <xdr:col>38</xdr:col>
      <xdr:colOff>60614</xdr:colOff>
      <xdr:row>105</xdr:row>
      <xdr:rowOff>106314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9EA714-08A4-C1F3-8529-9258FEEC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05364" y="13897841"/>
          <a:ext cx="7819159" cy="3587268"/>
        </a:xfrm>
        <a:prstGeom prst="rect">
          <a:avLst/>
        </a:prstGeom>
      </xdr:spPr>
    </xdr:pic>
    <xdr:clientData/>
  </xdr:twoCellAnchor>
  <xdr:twoCellAnchor editAs="oneCell">
    <xdr:from>
      <xdr:col>22</xdr:col>
      <xdr:colOff>606136</xdr:colOff>
      <xdr:row>11</xdr:row>
      <xdr:rowOff>138545</xdr:rowOff>
    </xdr:from>
    <xdr:to>
      <xdr:col>35</xdr:col>
      <xdr:colOff>155030</xdr:colOff>
      <xdr:row>34</xdr:row>
      <xdr:rowOff>59291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0CC21BB-7677-9DA6-A610-A85542CAB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77159" y="1948295"/>
          <a:ext cx="6675326" cy="3704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29"/>
  <sheetViews>
    <sheetView tabSelected="1" zoomScale="130" zoomScaleNormal="130" workbookViewId="0"/>
  </sheetViews>
  <sheetFormatPr defaultColWidth="8.85546875" defaultRowHeight="12.75" x14ac:dyDescent="0.2"/>
  <cols>
    <col min="1" max="3" width="8.85546875" customWidth="1"/>
    <col min="4" max="4" width="11.7109375" customWidth="1"/>
    <col min="5" max="6" width="10.7109375" customWidth="1"/>
    <col min="7" max="7" width="1" customWidth="1"/>
    <col min="8" max="11" width="10.7109375" customWidth="1"/>
    <col min="12" max="12" width="11.7109375" customWidth="1"/>
    <col min="13" max="13" width="1" customWidth="1"/>
    <col min="14" max="18" width="11.7109375" customWidth="1"/>
    <col min="19" max="19" width="1" customWidth="1"/>
    <col min="20" max="20" width="11.7109375" customWidth="1"/>
    <col min="21" max="21" width="11.28515625" customWidth="1"/>
    <col min="22" max="23" width="12" customWidth="1"/>
    <col min="24" max="24" width="5" customWidth="1"/>
    <col min="25" max="25" width="10.7109375" customWidth="1"/>
    <col min="26" max="26" width="2.140625" customWidth="1"/>
    <col min="27" max="27" width="10.7109375" customWidth="1"/>
    <col min="28" max="28" width="2.28515625" customWidth="1"/>
    <col min="29" max="29" width="10.7109375" customWidth="1"/>
  </cols>
  <sheetData>
    <row r="1" spans="1:26" x14ac:dyDescent="0.2">
      <c r="A1" s="31"/>
    </row>
    <row r="2" spans="1:26" x14ac:dyDescent="0.2">
      <c r="A2" s="20" t="s">
        <v>56</v>
      </c>
      <c r="B2" s="20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8"/>
    </row>
    <row r="3" spans="1:26" x14ac:dyDescent="0.2">
      <c r="A3" s="20" t="s">
        <v>79</v>
      </c>
      <c r="B3" s="20"/>
      <c r="H3" s="137"/>
      <c r="I3" s="138"/>
      <c r="J3" s="138"/>
      <c r="K3" s="138"/>
      <c r="L3" s="138"/>
      <c r="M3" s="82"/>
      <c r="N3" s="82"/>
      <c r="O3" s="82"/>
      <c r="P3" s="82"/>
      <c r="Q3" s="82"/>
      <c r="R3" s="82"/>
    </row>
    <row r="4" spans="1:26" x14ac:dyDescent="0.2">
      <c r="A4" s="20" t="s">
        <v>102</v>
      </c>
      <c r="B4" s="20"/>
      <c r="H4" s="139" t="s">
        <v>0</v>
      </c>
      <c r="I4" s="139"/>
      <c r="J4" s="139"/>
      <c r="K4" s="139"/>
      <c r="L4" s="139"/>
      <c r="N4" s="139" t="s">
        <v>0</v>
      </c>
      <c r="O4" s="139"/>
      <c r="P4" s="139"/>
      <c r="Q4" s="139"/>
      <c r="R4" s="139"/>
    </row>
    <row r="5" spans="1:26" x14ac:dyDescent="0.2">
      <c r="A5" s="20" t="s">
        <v>1</v>
      </c>
      <c r="E5" s="21"/>
      <c r="F5" s="21"/>
      <c r="G5" s="7"/>
      <c r="H5" s="39" t="s">
        <v>2</v>
      </c>
      <c r="I5" s="39" t="s">
        <v>2</v>
      </c>
      <c r="J5" s="39" t="s">
        <v>2</v>
      </c>
      <c r="K5" s="39" t="s">
        <v>2</v>
      </c>
      <c r="L5" s="39" t="s">
        <v>2</v>
      </c>
      <c r="M5" s="7"/>
      <c r="N5" s="39" t="s">
        <v>2</v>
      </c>
      <c r="O5" s="36" t="s">
        <v>3</v>
      </c>
      <c r="P5" s="36" t="s">
        <v>3</v>
      </c>
      <c r="Q5" s="36" t="s">
        <v>3</v>
      </c>
      <c r="R5" s="36" t="s">
        <v>3</v>
      </c>
      <c r="S5" s="7"/>
      <c r="T5" s="111"/>
    </row>
    <row r="6" spans="1:26" x14ac:dyDescent="0.2">
      <c r="E6" s="72" t="s">
        <v>2</v>
      </c>
      <c r="F6" s="72" t="s">
        <v>2</v>
      </c>
      <c r="G6" s="88"/>
      <c r="H6" s="89" t="s">
        <v>4</v>
      </c>
      <c r="I6" s="89" t="s">
        <v>5</v>
      </c>
      <c r="J6" s="89" t="s">
        <v>6</v>
      </c>
      <c r="K6" s="89" t="s">
        <v>7</v>
      </c>
      <c r="L6" s="72" t="s">
        <v>8</v>
      </c>
      <c r="M6" s="88"/>
      <c r="N6" s="89" t="s">
        <v>4</v>
      </c>
      <c r="O6" s="90" t="s">
        <v>5</v>
      </c>
      <c r="P6" s="90" t="s">
        <v>6</v>
      </c>
      <c r="Q6" s="90" t="s">
        <v>7</v>
      </c>
      <c r="R6" s="37" t="s">
        <v>8</v>
      </c>
      <c r="S6" s="88"/>
      <c r="T6" s="112" t="s">
        <v>3</v>
      </c>
    </row>
    <row r="7" spans="1:26" x14ac:dyDescent="0.2">
      <c r="E7" s="22">
        <v>2023</v>
      </c>
      <c r="F7" s="22">
        <v>2024</v>
      </c>
      <c r="G7" s="8"/>
      <c r="H7" s="22">
        <v>2025</v>
      </c>
      <c r="I7" s="22">
        <v>2025</v>
      </c>
      <c r="J7" s="22">
        <v>2025</v>
      </c>
      <c r="K7" s="22">
        <v>2025</v>
      </c>
      <c r="L7" s="22">
        <v>2025</v>
      </c>
      <c r="M7" s="8"/>
      <c r="N7" s="22">
        <v>2026</v>
      </c>
      <c r="O7" s="23">
        <v>2026</v>
      </c>
      <c r="P7" s="23">
        <v>2026</v>
      </c>
      <c r="Q7" s="23">
        <v>2026</v>
      </c>
      <c r="R7" s="23">
        <v>2025</v>
      </c>
      <c r="S7" s="8"/>
      <c r="T7" s="113">
        <v>2027</v>
      </c>
    </row>
    <row r="8" spans="1:26" x14ac:dyDescent="0.2">
      <c r="A8" t="s">
        <v>9</v>
      </c>
      <c r="E8" s="2"/>
      <c r="F8" s="2"/>
      <c r="G8" s="7"/>
      <c r="H8" s="16"/>
      <c r="I8" s="2"/>
      <c r="J8" s="2"/>
      <c r="K8" s="16"/>
      <c r="L8" s="2"/>
      <c r="M8" s="7"/>
      <c r="N8" s="16"/>
      <c r="O8" s="2"/>
      <c r="P8" s="2"/>
      <c r="Q8" s="16"/>
      <c r="R8" s="2"/>
      <c r="S8" s="7"/>
      <c r="T8" s="19"/>
    </row>
    <row r="9" spans="1:26" x14ac:dyDescent="0.2">
      <c r="A9" t="s">
        <v>10</v>
      </c>
      <c r="E9" s="53">
        <v>64391</v>
      </c>
      <c r="F9" s="53">
        <v>74589</v>
      </c>
      <c r="G9" s="9"/>
      <c r="H9" s="53">
        <v>21020</v>
      </c>
      <c r="I9" s="53">
        <v>13790</v>
      </c>
      <c r="J9" s="53">
        <v>18934</v>
      </c>
      <c r="K9" s="53">
        <v>18349</v>
      </c>
      <c r="L9" s="53">
        <f>SUM(H9:K9)</f>
        <v>72093</v>
      </c>
      <c r="M9" s="9"/>
      <c r="N9" s="53">
        <v>24664</v>
      </c>
      <c r="O9" s="53">
        <f t="shared" ref="O9:P9" si="0">O57</f>
        <v>27080.730949999997</v>
      </c>
      <c r="P9" s="53">
        <f t="shared" si="0"/>
        <v>33337.649000000005</v>
      </c>
      <c r="Q9" s="53">
        <f>Q57</f>
        <v>34793.711103999995</v>
      </c>
      <c r="R9" s="53">
        <f>SUM(N9:Q9)</f>
        <v>119876.09105399999</v>
      </c>
      <c r="S9" s="9"/>
      <c r="T9" s="53">
        <f>T57</f>
        <v>137883.58625000002</v>
      </c>
      <c r="U9" s="31" t="s">
        <v>11</v>
      </c>
    </row>
    <row r="10" spans="1:26" x14ac:dyDescent="0.2">
      <c r="A10" s="31" t="s">
        <v>12</v>
      </c>
      <c r="E10" s="56">
        <v>-13794</v>
      </c>
      <c r="F10" s="56">
        <v>-16065</v>
      </c>
      <c r="G10" s="63"/>
      <c r="H10" s="56">
        <v>-4648</v>
      </c>
      <c r="I10" s="56">
        <v>-3002</v>
      </c>
      <c r="J10" s="56">
        <v>-3978</v>
      </c>
      <c r="K10" s="56">
        <v>-3609</v>
      </c>
      <c r="L10" s="56">
        <f>SUM(H10:K10)</f>
        <v>-15237</v>
      </c>
      <c r="M10" s="63"/>
      <c r="N10" s="56">
        <v>-5095</v>
      </c>
      <c r="O10" s="56">
        <f t="shared" ref="O10:Q10" si="1">O57*0.215*-1</f>
        <v>-5822.3571542499994</v>
      </c>
      <c r="P10" s="56">
        <f t="shared" si="1"/>
        <v>-7167.5945350000011</v>
      </c>
      <c r="Q10" s="56">
        <f t="shared" si="1"/>
        <v>-7480.647887359999</v>
      </c>
      <c r="R10" s="56">
        <f>SUM(N10:Q10)</f>
        <v>-25565.599576609999</v>
      </c>
      <c r="S10" s="63"/>
      <c r="T10" s="56">
        <f>T57*0.215*-1</f>
        <v>-29644.971043750003</v>
      </c>
      <c r="U10" s="31" t="s">
        <v>91</v>
      </c>
    </row>
    <row r="11" spans="1:26" x14ac:dyDescent="0.2">
      <c r="A11" s="31" t="s">
        <v>13</v>
      </c>
      <c r="E11" s="56">
        <v>2</v>
      </c>
      <c r="F11" s="56">
        <v>127</v>
      </c>
      <c r="G11" s="46"/>
      <c r="H11" s="54">
        <v>1</v>
      </c>
      <c r="I11" s="54">
        <v>325</v>
      </c>
      <c r="J11" s="54">
        <v>238</v>
      </c>
      <c r="K11" s="54">
        <v>1</v>
      </c>
      <c r="L11" s="56">
        <f>SUM(H11:K11)</f>
        <v>565</v>
      </c>
      <c r="M11" s="63"/>
      <c r="N11" s="54">
        <v>0</v>
      </c>
      <c r="O11" s="54">
        <v>0</v>
      </c>
      <c r="P11" s="54">
        <v>0</v>
      </c>
      <c r="Q11" s="54">
        <v>0</v>
      </c>
      <c r="R11" s="56">
        <f>SUM(N11:Q11)</f>
        <v>0</v>
      </c>
      <c r="S11" s="63"/>
      <c r="T11" s="56">
        <v>0</v>
      </c>
      <c r="U11" s="31"/>
    </row>
    <row r="12" spans="1:26" x14ac:dyDescent="0.2">
      <c r="E12" s="57"/>
      <c r="F12" s="57"/>
      <c r="G12" s="11"/>
      <c r="H12" s="55"/>
      <c r="I12" s="55"/>
      <c r="J12" s="55"/>
      <c r="K12" s="55"/>
      <c r="L12" s="57"/>
      <c r="M12" s="65"/>
      <c r="N12" s="55"/>
      <c r="O12" s="55"/>
      <c r="P12" s="55"/>
      <c r="Q12" s="55"/>
      <c r="R12" s="57"/>
      <c r="S12" s="65"/>
      <c r="T12" s="57"/>
      <c r="W12" s="20"/>
      <c r="X12" s="20"/>
      <c r="Y12" s="20"/>
      <c r="Z12" s="20"/>
    </row>
    <row r="13" spans="1:26" x14ac:dyDescent="0.2">
      <c r="A13" t="s">
        <v>14</v>
      </c>
      <c r="E13" s="56">
        <f>SUM(E9:E12)</f>
        <v>50599</v>
      </c>
      <c r="F13" s="56">
        <f>SUM(F9:F12)</f>
        <v>58651</v>
      </c>
      <c r="G13" s="9"/>
      <c r="H13" s="61">
        <f>SUM(H9:H12)</f>
        <v>16373</v>
      </c>
      <c r="I13" s="61">
        <f>SUM(I9:I12)</f>
        <v>11113</v>
      </c>
      <c r="J13" s="61">
        <f>SUM(J9:J12)</f>
        <v>15194</v>
      </c>
      <c r="K13" s="61">
        <f>SUM(K9:K12)</f>
        <v>14741</v>
      </c>
      <c r="L13" s="56">
        <f>SUM(L9:L12)</f>
        <v>57421</v>
      </c>
      <c r="M13" s="63"/>
      <c r="N13" s="61">
        <f>SUM(N9:N12)</f>
        <v>19569</v>
      </c>
      <c r="O13" s="61">
        <f>SUM(O9:O12)</f>
        <v>21258.373795749998</v>
      </c>
      <c r="P13" s="61">
        <f>SUM(P9:P12)</f>
        <v>26170.054465000005</v>
      </c>
      <c r="Q13" s="61">
        <f>SUM(Q9:Q12)</f>
        <v>27313.063216639996</v>
      </c>
      <c r="R13" s="56">
        <f>SUM(R9:R12)</f>
        <v>94310.491477389995</v>
      </c>
      <c r="S13" s="63"/>
      <c r="T13" s="56">
        <f>SUM(T9:T12)</f>
        <v>108238.61520625002</v>
      </c>
      <c r="U13" s="20"/>
    </row>
    <row r="14" spans="1:26" x14ac:dyDescent="0.2">
      <c r="E14" s="56"/>
      <c r="F14" s="56"/>
      <c r="G14" s="10"/>
      <c r="H14" s="61"/>
      <c r="I14" s="61"/>
      <c r="J14" s="61"/>
      <c r="K14" s="61"/>
      <c r="L14" s="56"/>
      <c r="M14" s="63"/>
      <c r="N14" s="61"/>
      <c r="O14" s="61"/>
      <c r="P14" s="61"/>
      <c r="Q14" s="61"/>
      <c r="R14" s="56"/>
      <c r="S14" s="63"/>
      <c r="T14" s="56"/>
    </row>
    <row r="15" spans="1:26" x14ac:dyDescent="0.2">
      <c r="A15" t="s">
        <v>15</v>
      </c>
      <c r="E15" s="56"/>
      <c r="F15" s="56"/>
      <c r="G15" s="10"/>
      <c r="H15" s="61"/>
      <c r="I15" s="61"/>
      <c r="J15" s="61"/>
      <c r="K15" s="61"/>
      <c r="L15" s="56"/>
      <c r="M15" s="63"/>
      <c r="N15" s="61"/>
      <c r="O15" s="61"/>
      <c r="P15" s="61"/>
      <c r="Q15" s="61"/>
      <c r="R15" s="56"/>
      <c r="S15" s="63"/>
      <c r="T15" s="56"/>
    </row>
    <row r="16" spans="1:26" x14ac:dyDescent="0.2">
      <c r="A16" s="31" t="s">
        <v>16</v>
      </c>
      <c r="E16" s="56">
        <v>5895</v>
      </c>
      <c r="F16" s="56">
        <v>8233</v>
      </c>
      <c r="G16" s="10"/>
      <c r="H16" s="64">
        <v>2227</v>
      </c>
      <c r="I16" s="64">
        <v>1738</v>
      </c>
      <c r="J16" s="64">
        <v>2500</v>
      </c>
      <c r="K16" s="64">
        <v>2778</v>
      </c>
      <c r="L16" s="56">
        <f t="shared" ref="L16:L21" si="2">SUM(H16:K16)</f>
        <v>9243</v>
      </c>
      <c r="M16" s="63"/>
      <c r="N16" s="64">
        <v>2934</v>
      </c>
      <c r="O16" s="64">
        <f>O51*6.75*91/1000</f>
        <v>2702.7</v>
      </c>
      <c r="P16" s="64">
        <f t="shared" ref="P16" si="3">P51*6.75*92/1000</f>
        <v>3105</v>
      </c>
      <c r="Q16" s="64">
        <f>Q51*6.75*92/1000</f>
        <v>3549.636</v>
      </c>
      <c r="R16" s="56">
        <f t="shared" ref="R16:R21" si="4">SUM(N16:Q16)</f>
        <v>12291.336000000001</v>
      </c>
      <c r="S16" s="63"/>
      <c r="T16" s="64">
        <f>T51*6.75*365/1000</f>
        <v>14782.5</v>
      </c>
      <c r="U16" s="32" t="s">
        <v>88</v>
      </c>
    </row>
    <row r="17" spans="1:25" x14ac:dyDescent="0.2">
      <c r="A17" s="31" t="s">
        <v>17</v>
      </c>
      <c r="E17" s="56">
        <v>15009</v>
      </c>
      <c r="F17" s="56">
        <v>15892</v>
      </c>
      <c r="G17" s="10"/>
      <c r="H17" s="64">
        <v>4063</v>
      </c>
      <c r="I17" s="64">
        <v>3516</v>
      </c>
      <c r="J17" s="64">
        <v>4555</v>
      </c>
      <c r="K17" s="64">
        <v>4904</v>
      </c>
      <c r="L17" s="56">
        <f t="shared" si="2"/>
        <v>17038</v>
      </c>
      <c r="M17" s="63"/>
      <c r="N17" s="64">
        <v>5045</v>
      </c>
      <c r="O17" s="64">
        <f>O51*12*91/1000</f>
        <v>4804.8</v>
      </c>
      <c r="P17" s="64">
        <f>P51*12*92/1000</f>
        <v>5520</v>
      </c>
      <c r="Q17" s="64">
        <f>Q51*12*92/1000</f>
        <v>6310.4639999999999</v>
      </c>
      <c r="R17" s="56">
        <f t="shared" si="4"/>
        <v>21680.263999999999</v>
      </c>
      <c r="S17" s="63"/>
      <c r="T17" s="64">
        <f>T51*12*365/1000</f>
        <v>26280</v>
      </c>
      <c r="U17" s="32" t="s">
        <v>72</v>
      </c>
    </row>
    <row r="18" spans="1:25" x14ac:dyDescent="0.2">
      <c r="A18" s="31" t="s">
        <v>18</v>
      </c>
      <c r="E18" s="56">
        <v>0</v>
      </c>
      <c r="F18" s="56">
        <v>0</v>
      </c>
      <c r="G18" s="10"/>
      <c r="H18" s="64">
        <v>0</v>
      </c>
      <c r="I18" s="64">
        <v>0</v>
      </c>
      <c r="J18" s="64">
        <v>0</v>
      </c>
      <c r="K18" s="64">
        <v>0</v>
      </c>
      <c r="L18" s="56">
        <f t="shared" si="2"/>
        <v>0</v>
      </c>
      <c r="M18" s="63"/>
      <c r="N18" s="64">
        <v>0</v>
      </c>
      <c r="O18" s="64">
        <v>0</v>
      </c>
      <c r="P18" s="64">
        <v>0</v>
      </c>
      <c r="Q18" s="64">
        <v>0</v>
      </c>
      <c r="R18" s="56">
        <f t="shared" si="4"/>
        <v>0</v>
      </c>
      <c r="S18" s="63"/>
      <c r="T18" s="64">
        <v>0</v>
      </c>
      <c r="U18" s="32"/>
    </row>
    <row r="19" spans="1:25" x14ac:dyDescent="0.2">
      <c r="A19" s="31" t="s">
        <v>19</v>
      </c>
      <c r="E19" s="56">
        <v>4243</v>
      </c>
      <c r="F19" s="56">
        <v>5636</v>
      </c>
      <c r="G19" s="10"/>
      <c r="H19" s="64">
        <v>1325</v>
      </c>
      <c r="I19" s="64">
        <v>1409</v>
      </c>
      <c r="J19" s="64">
        <v>1410</v>
      </c>
      <c r="K19" s="64">
        <v>1551</v>
      </c>
      <c r="L19" s="56">
        <f t="shared" si="2"/>
        <v>5695</v>
      </c>
      <c r="M19" s="63"/>
      <c r="N19" s="64">
        <v>1523</v>
      </c>
      <c r="O19" s="64">
        <v>1525</v>
      </c>
      <c r="P19" s="64">
        <v>1525</v>
      </c>
      <c r="Q19" s="64">
        <v>1650</v>
      </c>
      <c r="R19" s="56">
        <f t="shared" si="4"/>
        <v>6223</v>
      </c>
      <c r="S19" s="63"/>
      <c r="T19" s="64">
        <v>7000</v>
      </c>
      <c r="U19" s="32"/>
    </row>
    <row r="20" spans="1:25" x14ac:dyDescent="0.2">
      <c r="A20" s="31" t="s">
        <v>20</v>
      </c>
      <c r="E20" s="56">
        <v>790</v>
      </c>
      <c r="F20" s="56">
        <v>1075</v>
      </c>
      <c r="G20" s="10"/>
      <c r="H20" s="64">
        <v>237</v>
      </c>
      <c r="I20" s="64">
        <v>488</v>
      </c>
      <c r="J20" s="64">
        <v>512</v>
      </c>
      <c r="K20" s="64">
        <v>507</v>
      </c>
      <c r="L20" s="56">
        <f t="shared" si="2"/>
        <v>1744</v>
      </c>
      <c r="M20" s="63"/>
      <c r="N20" s="64">
        <v>365</v>
      </c>
      <c r="O20" s="64">
        <v>400</v>
      </c>
      <c r="P20" s="64">
        <v>400</v>
      </c>
      <c r="Q20" s="64">
        <v>600</v>
      </c>
      <c r="R20" s="56">
        <f t="shared" si="4"/>
        <v>1765</v>
      </c>
      <c r="S20" s="63"/>
      <c r="T20" s="64">
        <v>2000</v>
      </c>
      <c r="U20" s="32"/>
    </row>
    <row r="21" spans="1:25" x14ac:dyDescent="0.2">
      <c r="A21" s="31" t="s">
        <v>21</v>
      </c>
      <c r="E21" s="56">
        <v>11</v>
      </c>
      <c r="F21" s="56">
        <v>3</v>
      </c>
      <c r="G21" s="10"/>
      <c r="H21" s="64">
        <v>0</v>
      </c>
      <c r="I21" s="64">
        <v>-2</v>
      </c>
      <c r="J21" s="64">
        <v>0</v>
      </c>
      <c r="K21" s="64">
        <v>5</v>
      </c>
      <c r="L21" s="56">
        <f t="shared" si="2"/>
        <v>3</v>
      </c>
      <c r="M21" s="63"/>
      <c r="N21" s="64">
        <v>-1</v>
      </c>
      <c r="O21" s="64">
        <v>0</v>
      </c>
      <c r="P21" s="64">
        <v>0</v>
      </c>
      <c r="Q21" s="64">
        <v>0</v>
      </c>
      <c r="R21" s="56">
        <f t="shared" si="4"/>
        <v>-1</v>
      </c>
      <c r="S21" s="63"/>
      <c r="T21" s="64">
        <v>0</v>
      </c>
      <c r="U21" s="32"/>
      <c r="V21" s="137"/>
      <c r="W21" s="137"/>
      <c r="X21" s="137"/>
      <c r="Y21" s="137"/>
    </row>
    <row r="22" spans="1:25" x14ac:dyDescent="0.2">
      <c r="E22" s="57"/>
      <c r="F22" s="57"/>
      <c r="G22" s="11"/>
      <c r="H22" s="57"/>
      <c r="I22" s="57"/>
      <c r="J22" s="57"/>
      <c r="K22" s="57"/>
      <c r="L22" s="57"/>
      <c r="M22" s="65"/>
      <c r="N22" s="57"/>
      <c r="O22" s="57"/>
      <c r="P22" s="57"/>
      <c r="Q22" s="57"/>
      <c r="R22" s="57"/>
      <c r="S22" s="65"/>
      <c r="T22" s="57"/>
      <c r="U22" s="32"/>
      <c r="W22" s="31"/>
    </row>
    <row r="23" spans="1:25" x14ac:dyDescent="0.2">
      <c r="E23" s="56"/>
      <c r="F23" s="56"/>
      <c r="G23" s="10"/>
      <c r="H23" s="64"/>
      <c r="I23" s="64"/>
      <c r="J23" s="64"/>
      <c r="K23" s="64"/>
      <c r="L23" s="56"/>
      <c r="M23" s="63"/>
      <c r="N23" s="64"/>
      <c r="O23" s="64"/>
      <c r="P23" s="64"/>
      <c r="Q23" s="64"/>
      <c r="R23" s="56"/>
      <c r="S23" s="63"/>
      <c r="T23" s="64"/>
      <c r="U23" s="32"/>
    </row>
    <row r="24" spans="1:25" x14ac:dyDescent="0.2">
      <c r="A24" t="s">
        <v>22</v>
      </c>
      <c r="E24" s="56">
        <f>SUM(E16:E23)</f>
        <v>25948</v>
      </c>
      <c r="F24" s="56">
        <f>SUM(F16:F23)</f>
        <v>30839</v>
      </c>
      <c r="G24" s="10"/>
      <c r="H24" s="56">
        <f>SUM(H16:H23)</f>
        <v>7852</v>
      </c>
      <c r="I24" s="56">
        <f>SUM(I16:I23)</f>
        <v>7149</v>
      </c>
      <c r="J24" s="56">
        <f>SUM(J16:J23)</f>
        <v>8977</v>
      </c>
      <c r="K24" s="56">
        <f>SUM(K16:K23)</f>
        <v>9745</v>
      </c>
      <c r="L24" s="56">
        <f>SUM(L16:L23)</f>
        <v>33723</v>
      </c>
      <c r="M24" s="63"/>
      <c r="N24" s="56">
        <f>SUM(N16:N23)</f>
        <v>9866</v>
      </c>
      <c r="O24" s="56">
        <f>SUM(O16:O23)</f>
        <v>9432.5</v>
      </c>
      <c r="P24" s="56">
        <f>SUM(P16:P23)</f>
        <v>10550</v>
      </c>
      <c r="Q24" s="56">
        <f>SUM(Q16:Q23)</f>
        <v>12110.1</v>
      </c>
      <c r="R24" s="56">
        <f>SUM(R16:R23)</f>
        <v>41958.6</v>
      </c>
      <c r="S24" s="63"/>
      <c r="T24" s="56">
        <f>SUM(T16:T23)</f>
        <v>50062.5</v>
      </c>
    </row>
    <row r="25" spans="1:25" x14ac:dyDescent="0.2">
      <c r="E25" s="56"/>
      <c r="F25" s="56"/>
      <c r="G25" s="10"/>
      <c r="H25" s="64"/>
      <c r="I25" s="64"/>
      <c r="J25" s="64"/>
      <c r="K25" s="64"/>
      <c r="L25" s="56"/>
      <c r="M25" s="63"/>
      <c r="N25" s="64"/>
      <c r="O25" s="64"/>
      <c r="P25" s="64"/>
      <c r="Q25" s="64"/>
      <c r="R25" s="56"/>
      <c r="S25" s="63"/>
      <c r="T25" s="56"/>
    </row>
    <row r="26" spans="1:25" x14ac:dyDescent="0.2">
      <c r="A26" s="31" t="s">
        <v>23</v>
      </c>
      <c r="E26" s="56"/>
      <c r="F26" s="56"/>
      <c r="G26" s="10"/>
      <c r="H26" s="64"/>
      <c r="I26" s="64"/>
      <c r="J26" s="64"/>
      <c r="K26" s="64"/>
      <c r="L26" s="56"/>
      <c r="M26" s="63"/>
      <c r="N26" s="64"/>
      <c r="O26" s="64"/>
      <c r="P26" s="64"/>
      <c r="Q26" s="64"/>
      <c r="R26" s="56"/>
      <c r="S26" s="63"/>
      <c r="T26" s="64"/>
      <c r="U26" s="16"/>
    </row>
    <row r="27" spans="1:25" x14ac:dyDescent="0.2">
      <c r="A27" s="31" t="s">
        <v>24</v>
      </c>
      <c r="E27" s="56">
        <v>2135</v>
      </c>
      <c r="F27" s="56">
        <v>3189</v>
      </c>
      <c r="G27" s="10"/>
      <c r="H27" s="64">
        <v>652</v>
      </c>
      <c r="I27" s="64">
        <v>594</v>
      </c>
      <c r="J27" s="64">
        <v>850</v>
      </c>
      <c r="K27" s="64">
        <v>1002</v>
      </c>
      <c r="L27" s="56">
        <f>SUM(H27:K27)</f>
        <v>3098</v>
      </c>
      <c r="M27" s="63"/>
      <c r="N27" s="64">
        <v>1020</v>
      </c>
      <c r="O27" s="64">
        <v>950</v>
      </c>
      <c r="P27" s="64">
        <v>900</v>
      </c>
      <c r="Q27" s="64">
        <v>800</v>
      </c>
      <c r="R27" s="56">
        <f>SUM(N27:Q27)</f>
        <v>3670</v>
      </c>
      <c r="S27" s="63"/>
      <c r="T27" s="64">
        <v>2800</v>
      </c>
      <c r="U27" s="32" t="s">
        <v>90</v>
      </c>
    </row>
    <row r="28" spans="1:25" x14ac:dyDescent="0.2">
      <c r="A28" s="31" t="s">
        <v>25</v>
      </c>
      <c r="E28" s="56">
        <v>128</v>
      </c>
      <c r="F28" s="56">
        <v>193</v>
      </c>
      <c r="G28" s="10"/>
      <c r="H28" s="64">
        <v>37</v>
      </c>
      <c r="I28" s="64">
        <v>38</v>
      </c>
      <c r="J28" s="64">
        <v>30</v>
      </c>
      <c r="K28" s="64">
        <v>57</v>
      </c>
      <c r="L28" s="56">
        <f>SUM(H28:K28)</f>
        <v>162</v>
      </c>
      <c r="M28" s="63"/>
      <c r="N28" s="64">
        <v>37</v>
      </c>
      <c r="O28" s="64">
        <v>37</v>
      </c>
      <c r="P28" s="64">
        <v>37</v>
      </c>
      <c r="Q28" s="64">
        <v>37</v>
      </c>
      <c r="R28" s="56">
        <f>SUM(N28:Q28)</f>
        <v>148</v>
      </c>
      <c r="S28" s="63"/>
      <c r="T28" s="64">
        <v>200</v>
      </c>
      <c r="U28" s="16"/>
    </row>
    <row r="29" spans="1:25" x14ac:dyDescent="0.2">
      <c r="A29" s="31" t="s">
        <v>26</v>
      </c>
      <c r="E29" s="56">
        <v>1379</v>
      </c>
      <c r="F29" s="56">
        <v>652</v>
      </c>
      <c r="G29" s="10"/>
      <c r="H29" s="64">
        <v>0</v>
      </c>
      <c r="I29" s="64">
        <v>-40</v>
      </c>
      <c r="J29" s="64">
        <v>-18</v>
      </c>
      <c r="K29" s="64">
        <v>-131</v>
      </c>
      <c r="L29" s="56">
        <f>SUM(H29:K29)</f>
        <v>-189</v>
      </c>
      <c r="M29" s="63"/>
      <c r="N29" s="64">
        <v>294</v>
      </c>
      <c r="O29" s="64">
        <v>0</v>
      </c>
      <c r="P29" s="64">
        <v>0</v>
      </c>
      <c r="Q29" s="64">
        <v>0</v>
      </c>
      <c r="R29" s="56">
        <f>SUM(N29:Q29)</f>
        <v>294</v>
      </c>
      <c r="S29" s="63"/>
      <c r="T29" s="64">
        <v>0</v>
      </c>
      <c r="U29" s="16"/>
    </row>
    <row r="30" spans="1:25" x14ac:dyDescent="0.2">
      <c r="A30" s="31" t="s">
        <v>27</v>
      </c>
      <c r="E30" s="56">
        <v>-1813</v>
      </c>
      <c r="F30" s="56">
        <v>-336</v>
      </c>
      <c r="G30" s="10"/>
      <c r="H30" s="64">
        <v>35</v>
      </c>
      <c r="I30" s="64">
        <v>-490</v>
      </c>
      <c r="J30" s="64">
        <v>464</v>
      </c>
      <c r="K30" s="64">
        <v>23</v>
      </c>
      <c r="L30" s="56">
        <f>SUM(H30:K30)</f>
        <v>32</v>
      </c>
      <c r="M30" s="63"/>
      <c r="N30" s="64">
        <v>2877</v>
      </c>
      <c r="O30" s="64">
        <v>0</v>
      </c>
      <c r="P30" s="64">
        <v>0</v>
      </c>
      <c r="Q30" s="64">
        <v>0</v>
      </c>
      <c r="R30" s="56">
        <f>SUM(N30:Q30)</f>
        <v>2877</v>
      </c>
      <c r="S30" s="63"/>
      <c r="T30" s="64">
        <v>0</v>
      </c>
      <c r="U30" s="16"/>
    </row>
    <row r="31" spans="1:25" x14ac:dyDescent="0.2">
      <c r="A31" s="31" t="s">
        <v>57</v>
      </c>
      <c r="E31" s="57">
        <v>183</v>
      </c>
      <c r="F31" s="57">
        <v>135</v>
      </c>
      <c r="G31" s="11"/>
      <c r="H31" s="66">
        <v>51</v>
      </c>
      <c r="I31" s="66">
        <v>73</v>
      </c>
      <c r="J31" s="66">
        <v>65</v>
      </c>
      <c r="K31" s="66">
        <v>61</v>
      </c>
      <c r="L31" s="57">
        <f>SUM(H31:K31)</f>
        <v>250</v>
      </c>
      <c r="M31" s="65"/>
      <c r="N31" s="66">
        <v>67</v>
      </c>
      <c r="O31" s="66">
        <v>65</v>
      </c>
      <c r="P31" s="66">
        <v>65</v>
      </c>
      <c r="Q31" s="66">
        <v>65</v>
      </c>
      <c r="R31" s="57">
        <f>SUM(N31:Q31)</f>
        <v>262</v>
      </c>
      <c r="S31" s="65"/>
      <c r="T31" s="57">
        <v>260</v>
      </c>
      <c r="U31" s="16"/>
    </row>
    <row r="32" spans="1:25" x14ac:dyDescent="0.2">
      <c r="E32" s="56"/>
      <c r="F32" s="56"/>
      <c r="G32" s="10"/>
      <c r="H32" s="64"/>
      <c r="I32" s="64"/>
      <c r="J32" s="64"/>
      <c r="K32" s="64"/>
      <c r="L32" s="56"/>
      <c r="M32" s="63"/>
      <c r="N32" s="64"/>
      <c r="O32" s="64"/>
      <c r="P32" s="64"/>
      <c r="Q32" s="64"/>
      <c r="R32" s="56"/>
      <c r="S32" s="63"/>
      <c r="T32" s="64"/>
      <c r="U32" s="16"/>
    </row>
    <row r="33" spans="1:29" x14ac:dyDescent="0.2">
      <c r="A33" s="31" t="s">
        <v>28</v>
      </c>
      <c r="E33" s="91">
        <f>E13-E24-E27-E28-E29-E30-E31</f>
        <v>22639</v>
      </c>
      <c r="F33" s="91">
        <f>F13-F24-F27-F28-F29-F30-F31</f>
        <v>23979</v>
      </c>
      <c r="G33" s="92"/>
      <c r="H33" s="91">
        <f>H13-H24-H27-H28-H29-H30-H31</f>
        <v>7746</v>
      </c>
      <c r="I33" s="91">
        <f>I13-I24-I27-I28-I29-I30-I31</f>
        <v>3789</v>
      </c>
      <c r="J33" s="91">
        <f>J13-J24-J27-J28-J29-J30-J31</f>
        <v>4826</v>
      </c>
      <c r="K33" s="91">
        <f>K13-K24-K27-K28-K29-K30-K31</f>
        <v>3984</v>
      </c>
      <c r="L33" s="91">
        <f>L13-L24-L27-L28-L29-L30-L31</f>
        <v>20345</v>
      </c>
      <c r="M33" s="93"/>
      <c r="N33" s="91">
        <f>N13-N24-N27-N28-N29-N30-N31</f>
        <v>5408</v>
      </c>
      <c r="O33" s="91">
        <f>O13-O24-O27-O28-O29-O30-O31</f>
        <v>10773.873795749998</v>
      </c>
      <c r="P33" s="91">
        <f>P13-P24-P27-P28-P29-P30-P31</f>
        <v>14618.054465000005</v>
      </c>
      <c r="Q33" s="91">
        <f>Q13-Q24-Q27-Q28-Q29-Q30-Q31</f>
        <v>14300.963216639995</v>
      </c>
      <c r="R33" s="91">
        <f>R13-R24-R27-R28-R29-R30-R31</f>
        <v>45100.891477389996</v>
      </c>
      <c r="S33" s="93"/>
      <c r="T33" s="91">
        <f>T13-T24-T27-T28-T29-T30-T31</f>
        <v>54916.115206250019</v>
      </c>
      <c r="U33" s="16"/>
    </row>
    <row r="34" spans="1:29" x14ac:dyDescent="0.2">
      <c r="A34" t="s">
        <v>29</v>
      </c>
      <c r="E34" s="56"/>
      <c r="F34" s="56"/>
      <c r="G34" s="10"/>
      <c r="H34" s="64"/>
      <c r="I34" s="64"/>
      <c r="J34" s="64"/>
      <c r="K34" s="64"/>
      <c r="L34" s="56"/>
      <c r="M34" s="63"/>
      <c r="N34" s="64"/>
      <c r="O34" s="64"/>
      <c r="P34" s="64"/>
      <c r="Q34" s="64"/>
      <c r="R34" s="56"/>
      <c r="S34" s="63"/>
      <c r="T34" s="56"/>
      <c r="U34" s="31"/>
    </row>
    <row r="35" spans="1:29" x14ac:dyDescent="0.2">
      <c r="A35" t="s">
        <v>30</v>
      </c>
      <c r="E35" s="56">
        <v>0</v>
      </c>
      <c r="F35" s="56">
        <v>434</v>
      </c>
      <c r="G35" s="10"/>
      <c r="H35" s="64">
        <v>0</v>
      </c>
      <c r="I35" s="64">
        <v>495</v>
      </c>
      <c r="J35" s="64">
        <v>0</v>
      </c>
      <c r="K35" s="64">
        <v>6</v>
      </c>
      <c r="L35" s="56">
        <f>SUM(H35:K35)</f>
        <v>501</v>
      </c>
      <c r="M35" s="63"/>
      <c r="N35" s="64">
        <v>0</v>
      </c>
      <c r="O35" s="64">
        <v>0</v>
      </c>
      <c r="P35" s="64">
        <v>0</v>
      </c>
      <c r="Q35" s="64">
        <v>0</v>
      </c>
      <c r="R35" s="56">
        <f>SUM(N35:Q35)</f>
        <v>0</v>
      </c>
      <c r="S35" s="63"/>
      <c r="T35" s="64">
        <v>0</v>
      </c>
      <c r="U35" s="32"/>
    </row>
    <row r="36" spans="1:29" x14ac:dyDescent="0.2">
      <c r="A36" t="s">
        <v>31</v>
      </c>
      <c r="E36" s="57">
        <v>3359</v>
      </c>
      <c r="F36" s="57">
        <v>5430</v>
      </c>
      <c r="G36" s="11"/>
      <c r="H36" s="66">
        <v>1981</v>
      </c>
      <c r="I36" s="66">
        <v>441</v>
      </c>
      <c r="J36" s="66">
        <v>1228</v>
      </c>
      <c r="K36" s="66">
        <v>717</v>
      </c>
      <c r="L36" s="57">
        <f>SUM(H36:K36)</f>
        <v>4367</v>
      </c>
      <c r="M36" s="65"/>
      <c r="N36" s="66">
        <v>1381</v>
      </c>
      <c r="O36" s="66">
        <f t="shared" ref="O36:P36" si="5">O33*0.256</f>
        <v>2758.1116917119994</v>
      </c>
      <c r="P36" s="66">
        <f t="shared" si="5"/>
        <v>3742.2219430400014</v>
      </c>
      <c r="Q36" s="66">
        <f t="shared" ref="Q36" si="6">Q33*0.256</f>
        <v>3661.046583459839</v>
      </c>
      <c r="R36" s="57">
        <f>SUM(N36:Q36)</f>
        <v>11542.380218211842</v>
      </c>
      <c r="S36" s="65"/>
      <c r="T36" s="66">
        <f>T33*0.256</f>
        <v>14058.525492800005</v>
      </c>
      <c r="U36" s="32" t="s">
        <v>76</v>
      </c>
    </row>
    <row r="37" spans="1:29" x14ac:dyDescent="0.2">
      <c r="E37" s="53"/>
      <c r="F37" s="53"/>
      <c r="G37" s="10"/>
      <c r="H37" s="59"/>
      <c r="I37" s="59"/>
      <c r="J37" s="59"/>
      <c r="K37" s="59"/>
      <c r="L37" s="53"/>
      <c r="M37" s="9"/>
      <c r="N37" s="59"/>
      <c r="O37" s="59"/>
      <c r="P37" s="59"/>
      <c r="Q37" s="59"/>
      <c r="R37" s="53"/>
      <c r="S37" s="9"/>
      <c r="T37" s="53"/>
      <c r="Y37" s="77" t="s">
        <v>61</v>
      </c>
      <c r="AA37" s="77" t="s">
        <v>62</v>
      </c>
      <c r="AC37" s="77" t="s">
        <v>63</v>
      </c>
    </row>
    <row r="38" spans="1:29" x14ac:dyDescent="0.2">
      <c r="A38" t="s">
        <v>32</v>
      </c>
      <c r="E38" s="94">
        <f>E33-E35-E36</f>
        <v>19280</v>
      </c>
      <c r="F38" s="94">
        <f>F33-F35-F36</f>
        <v>18115</v>
      </c>
      <c r="G38" s="95"/>
      <c r="H38" s="94">
        <f>H33-H35-H36</f>
        <v>5765</v>
      </c>
      <c r="I38" s="94">
        <f>I33-I35-I36</f>
        <v>2853</v>
      </c>
      <c r="J38" s="94">
        <f>J33-J35-J36</f>
        <v>3598</v>
      </c>
      <c r="K38" s="94">
        <f>K33-K35-K36</f>
        <v>3261</v>
      </c>
      <c r="L38" s="94">
        <f>L33-L35-L36</f>
        <v>15477</v>
      </c>
      <c r="M38" s="95"/>
      <c r="N38" s="94">
        <f>N33-N35-N36</f>
        <v>4027</v>
      </c>
      <c r="O38" s="94">
        <f>O33-O35-O36</f>
        <v>8015.7621040379981</v>
      </c>
      <c r="P38" s="94">
        <f>P33-P35-P36</f>
        <v>10875.832521960003</v>
      </c>
      <c r="Q38" s="94">
        <f>Q33-Q35-Q36</f>
        <v>10639.916633180157</v>
      </c>
      <c r="R38" s="94">
        <f>R33-R35-R36</f>
        <v>33558.511259178151</v>
      </c>
      <c r="S38" s="95"/>
      <c r="T38" s="94">
        <f>T33-T35-T36</f>
        <v>40857.589713450012</v>
      </c>
      <c r="Y38" s="77">
        <v>2025</v>
      </c>
      <c r="AA38" s="77">
        <v>2026</v>
      </c>
      <c r="AC38" s="77">
        <v>2027</v>
      </c>
    </row>
    <row r="39" spans="1:29" ht="13.5" thickBot="1" x14ac:dyDescent="0.25">
      <c r="E39" s="3"/>
      <c r="F39" s="3"/>
      <c r="G39" s="10"/>
      <c r="H39" s="59"/>
      <c r="I39" s="59"/>
      <c r="J39" s="59"/>
      <c r="K39" s="59"/>
      <c r="L39" s="53"/>
      <c r="M39" s="9"/>
      <c r="N39" s="59"/>
      <c r="O39" s="59"/>
      <c r="P39" s="59"/>
      <c r="Q39" s="59"/>
      <c r="R39" s="53"/>
      <c r="S39" s="9"/>
      <c r="T39" s="53"/>
      <c r="Y39" s="78" t="s">
        <v>33</v>
      </c>
      <c r="AA39" s="78" t="s">
        <v>33</v>
      </c>
      <c r="AC39" s="78" t="s">
        <v>33</v>
      </c>
    </row>
    <row r="40" spans="1:29" ht="13.5" thickBot="1" x14ac:dyDescent="0.25">
      <c r="A40" s="31" t="s">
        <v>34</v>
      </c>
      <c r="E40" s="105">
        <v>35626</v>
      </c>
      <c r="F40" s="105">
        <v>35736</v>
      </c>
      <c r="G40" s="12"/>
      <c r="H40" s="106">
        <v>35489</v>
      </c>
      <c r="I40" s="106">
        <v>35736</v>
      </c>
      <c r="J40" s="106">
        <v>35736</v>
      </c>
      <c r="K40" s="106">
        <v>35472</v>
      </c>
      <c r="L40" s="106">
        <f>SUM(H40:K40)/4</f>
        <v>35608.25</v>
      </c>
      <c r="M40" s="62"/>
      <c r="N40" s="106">
        <v>35474</v>
      </c>
      <c r="O40" s="106">
        <v>35400</v>
      </c>
      <c r="P40" s="106">
        <v>35200</v>
      </c>
      <c r="Q40" s="106">
        <v>35000</v>
      </c>
      <c r="R40" s="106">
        <f>SUM(N40:Q40)/4</f>
        <v>35268.5</v>
      </c>
      <c r="S40" s="62"/>
      <c r="T40" s="106">
        <v>34000</v>
      </c>
      <c r="U40" s="31" t="s">
        <v>101</v>
      </c>
      <c r="Y40" s="79">
        <f>L38+L17+L18+L27-L28-L30-L31+L35+L36</f>
        <v>40037</v>
      </c>
      <c r="Z40" s="52"/>
      <c r="AA40" s="79">
        <f>R38+R17+R18+R27-R28-R30-R31+R35+R36</f>
        <v>67164.155477389984</v>
      </c>
      <c r="AC40" s="79">
        <f>T38+T17+T18+T27-T28-T30-T31+T35+T36</f>
        <v>83536.115206250019</v>
      </c>
    </row>
    <row r="41" spans="1:29" ht="15.75" thickTop="1" thickBot="1" x14ac:dyDescent="0.25">
      <c r="A41" s="26" t="s">
        <v>35</v>
      </c>
      <c r="B41" s="26"/>
      <c r="C41" s="26"/>
      <c r="D41" s="26"/>
      <c r="E41" s="30">
        <f>E38/E40</f>
        <v>0.54117779150058942</v>
      </c>
      <c r="F41" s="30">
        <f>F38/F40</f>
        <v>0.50691179762704275</v>
      </c>
      <c r="G41" s="13"/>
      <c r="H41" s="30">
        <f>H38/H40</f>
        <v>0.16244470117501197</v>
      </c>
      <c r="I41" s="30">
        <f>I38/I40</f>
        <v>7.98354600402955E-2</v>
      </c>
      <c r="J41" s="30">
        <f>J38/J40</f>
        <v>0.10068278486680099</v>
      </c>
      <c r="K41" s="30">
        <f>K38/K40</f>
        <v>9.1931664411366715E-2</v>
      </c>
      <c r="L41" s="30">
        <f>L38/L40</f>
        <v>0.43464646535564089</v>
      </c>
      <c r="M41" s="60"/>
      <c r="N41" s="30">
        <f>N38/N40</f>
        <v>0.11351976095168292</v>
      </c>
      <c r="O41" s="30">
        <f>O38/O40</f>
        <v>0.22643395774118638</v>
      </c>
      <c r="P41" s="30">
        <f>P38/P40</f>
        <v>0.30897251482840915</v>
      </c>
      <c r="Q41" s="30">
        <f>Q38/Q40</f>
        <v>0.30399761809086162</v>
      </c>
      <c r="R41" s="30">
        <f>R38/R40</f>
        <v>0.95151512707311481</v>
      </c>
      <c r="S41" s="60"/>
      <c r="T41" s="30">
        <f>T38/T40</f>
        <v>1.2016938151014709</v>
      </c>
      <c r="U41" s="114" t="s">
        <v>60</v>
      </c>
      <c r="V41" s="115"/>
      <c r="W41" s="115"/>
    </row>
    <row r="42" spans="1:29" x14ac:dyDescent="0.2">
      <c r="A42" s="29" t="s">
        <v>36</v>
      </c>
      <c r="B42" s="29"/>
      <c r="C42" s="29"/>
      <c r="D42" s="29"/>
      <c r="E42" s="6"/>
      <c r="F42" s="6"/>
      <c r="G42" s="14"/>
      <c r="H42" s="50"/>
      <c r="I42" s="50"/>
      <c r="J42" s="50"/>
      <c r="K42" s="50"/>
      <c r="L42" s="50"/>
      <c r="M42" s="9"/>
      <c r="N42" s="50">
        <v>0.11</v>
      </c>
      <c r="O42" s="128" t="s">
        <v>92</v>
      </c>
      <c r="P42" s="128" t="s">
        <v>92</v>
      </c>
      <c r="Q42" s="128" t="s">
        <v>92</v>
      </c>
      <c r="R42" s="128" t="s">
        <v>92</v>
      </c>
      <c r="S42" s="9"/>
      <c r="T42" s="128" t="s">
        <v>92</v>
      </c>
      <c r="U42" s="80" t="s">
        <v>75</v>
      </c>
      <c r="V42" s="81"/>
      <c r="W42" s="81"/>
      <c r="X42" s="104"/>
    </row>
    <row r="43" spans="1:29" x14ac:dyDescent="0.2">
      <c r="E43" s="58">
        <v>36933</v>
      </c>
      <c r="F43" s="58">
        <v>36933</v>
      </c>
      <c r="G43" s="48"/>
      <c r="H43" s="58">
        <f>H38+H17+H18+H20+H21+H28+H30+H31+H36-336</f>
        <v>11833</v>
      </c>
      <c r="I43" s="58">
        <f>I38+I17+I18+I20+I21+I28+I30+I31+I36+59</f>
        <v>6976</v>
      </c>
      <c r="J43" s="58">
        <f>J38+J17+J18+J20+J21+J28+J30+J31+J36+190</f>
        <v>10642</v>
      </c>
      <c r="K43" s="58">
        <f>K38+K17+K18+K20+K21+K28+K30+K31+K36+139</f>
        <v>9674</v>
      </c>
      <c r="L43" s="96">
        <f>SUM(H43:K43)</f>
        <v>39125</v>
      </c>
      <c r="M43" s="9"/>
      <c r="N43" s="58">
        <f>N38+N17+N18+N20+N21+N28+N30+N31+N36-174</f>
        <v>13624</v>
      </c>
      <c r="O43" s="58">
        <f>O38+O17+O18+O20+O21+O28+O30+O31+O36-500</f>
        <v>15580.673795749999</v>
      </c>
      <c r="P43" s="58">
        <f>P38+P17+P18+P20+P21+P28+P30+P31+P36-2500</f>
        <v>18140.054465000001</v>
      </c>
      <c r="Q43" s="58">
        <f>Q38+Q17+Q18+Q20+Q21+Q28+Q30+Q31+Q36-2000</f>
        <v>19313.427216639997</v>
      </c>
      <c r="R43" s="96">
        <f>SUM(N43:Q43)</f>
        <v>66658.155477389999</v>
      </c>
      <c r="S43" s="9"/>
      <c r="T43" s="58">
        <f>T38+T17+T18+T20+T21+T28+T30+T31+T36-4800</f>
        <v>78856.115206250019</v>
      </c>
      <c r="U43" s="31" t="s">
        <v>104</v>
      </c>
    </row>
    <row r="44" spans="1:29" x14ac:dyDescent="0.2">
      <c r="A44" t="s">
        <v>37</v>
      </c>
      <c r="E44" s="97">
        <f>E43/E40</f>
        <v>1.0366866894964353</v>
      </c>
      <c r="F44" s="97">
        <f>F43/F40</f>
        <v>1.0334956346541302</v>
      </c>
      <c r="G44" s="98"/>
      <c r="H44" s="97">
        <f>H43/H40</f>
        <v>0.33342725915072274</v>
      </c>
      <c r="I44" s="97">
        <f>I43/I40</f>
        <v>0.19520931273785538</v>
      </c>
      <c r="J44" s="97">
        <f>J43/J40</f>
        <v>0.29779494067606893</v>
      </c>
      <c r="K44" s="97">
        <f>K43/K40</f>
        <v>0.27272214704555708</v>
      </c>
      <c r="L44" s="97">
        <f>SUM(H44:K44)</f>
        <v>1.0991536596102041</v>
      </c>
      <c r="M44" s="98"/>
      <c r="N44" s="97">
        <f>N43/N40</f>
        <v>0.38405592828550489</v>
      </c>
      <c r="O44" s="97">
        <f>O43/O40</f>
        <v>0.44013202812853103</v>
      </c>
      <c r="P44" s="97">
        <f>P43/P40</f>
        <v>0.51534245639204546</v>
      </c>
      <c r="Q44" s="97">
        <f>Q43/Q40</f>
        <v>0.55181220618971416</v>
      </c>
      <c r="R44" s="97">
        <f>SUM(N44:Q44)</f>
        <v>1.8913426189957956</v>
      </c>
      <c r="S44" s="98"/>
      <c r="T44" s="97">
        <f>T43/T40</f>
        <v>2.3192975060661771</v>
      </c>
      <c r="U44" s="25" t="s">
        <v>89</v>
      </c>
      <c r="V44" s="26"/>
      <c r="W44" s="26"/>
      <c r="X44" s="26"/>
      <c r="Y44" s="27">
        <f>(L44+R44+R44+T44)/4*5</f>
        <v>9.0014205045849653</v>
      </c>
      <c r="Z44" s="38" t="s">
        <v>38</v>
      </c>
    </row>
    <row r="45" spans="1:29" x14ac:dyDescent="0.2">
      <c r="E45" s="6"/>
      <c r="F45" s="6"/>
      <c r="G45" s="14"/>
      <c r="H45" s="47"/>
      <c r="I45" s="47"/>
      <c r="J45" s="47"/>
      <c r="K45" s="50"/>
      <c r="L45" s="6"/>
      <c r="M45" s="14"/>
      <c r="N45" s="47"/>
      <c r="O45" s="47"/>
      <c r="P45" s="47"/>
      <c r="Q45" s="50"/>
      <c r="R45" s="6"/>
      <c r="S45" s="14"/>
      <c r="T45" s="51"/>
      <c r="U45" s="32"/>
      <c r="W45" s="109" t="s">
        <v>58</v>
      </c>
      <c r="X45" s="26"/>
      <c r="Y45" s="27">
        <v>8</v>
      </c>
      <c r="Z45" s="38" t="s">
        <v>38</v>
      </c>
    </row>
    <row r="46" spans="1:29" x14ac:dyDescent="0.2">
      <c r="A46" t="s">
        <v>39</v>
      </c>
      <c r="E46" s="3"/>
      <c r="F46" s="3"/>
      <c r="G46" s="10"/>
      <c r="H46" s="17"/>
      <c r="I46" s="3"/>
      <c r="J46" s="3"/>
      <c r="K46" s="17"/>
      <c r="L46" s="3"/>
      <c r="M46" s="10"/>
      <c r="N46" s="17"/>
      <c r="O46" s="3"/>
      <c r="P46" s="3"/>
      <c r="Q46" s="17"/>
      <c r="R46" s="3"/>
      <c r="S46" s="10"/>
      <c r="T46" s="3"/>
      <c r="U46" s="123" t="s">
        <v>94</v>
      </c>
      <c r="V46" s="125" t="s">
        <v>98</v>
      </c>
      <c r="W46" s="52"/>
      <c r="X46" s="31"/>
      <c r="Y46" s="84"/>
      <c r="Z46" s="84"/>
    </row>
    <row r="47" spans="1:29" x14ac:dyDescent="0.2">
      <c r="A47" s="31" t="s">
        <v>40</v>
      </c>
      <c r="D47" s="31"/>
      <c r="E47" s="99">
        <v>2145</v>
      </c>
      <c r="F47" s="99">
        <v>2519</v>
      </c>
      <c r="G47" s="10"/>
      <c r="H47" s="3">
        <v>2844</v>
      </c>
      <c r="I47" s="3">
        <v>2115</v>
      </c>
      <c r="J47" s="3">
        <v>2809</v>
      </c>
      <c r="K47" s="3">
        <v>3131</v>
      </c>
      <c r="L47" s="3">
        <f>SUM(H47:K47)/4</f>
        <v>2724.75</v>
      </c>
      <c r="M47" s="10">
        <v>1</v>
      </c>
      <c r="N47" s="3">
        <v>3452</v>
      </c>
      <c r="O47" s="3">
        <f>O51*0.73</f>
        <v>3212</v>
      </c>
      <c r="P47" s="3">
        <f>P51*0.72</f>
        <v>3600</v>
      </c>
      <c r="Q47" s="3">
        <f>Q51*0.72</f>
        <v>4115.5199999999995</v>
      </c>
      <c r="R47" s="3">
        <f>SUM(N47:Q47)/4</f>
        <v>3594.88</v>
      </c>
      <c r="S47" s="10">
        <v>1</v>
      </c>
      <c r="T47" s="3">
        <f>T51*0.72</f>
        <v>4320</v>
      </c>
      <c r="U47" s="117" t="s">
        <v>97</v>
      </c>
      <c r="V47" s="124" t="s">
        <v>99</v>
      </c>
      <c r="W47" s="70" t="s">
        <v>77</v>
      </c>
      <c r="X47" s="70"/>
      <c r="Y47" s="83"/>
      <c r="Z47" s="83"/>
    </row>
    <row r="48" spans="1:29" x14ac:dyDescent="0.2">
      <c r="A48" s="31" t="s">
        <v>41</v>
      </c>
      <c r="D48" s="31"/>
      <c r="E48" s="99">
        <v>380</v>
      </c>
      <c r="F48" s="99">
        <v>547</v>
      </c>
      <c r="G48" s="10"/>
      <c r="H48" s="3">
        <v>599</v>
      </c>
      <c r="I48" s="3">
        <v>625</v>
      </c>
      <c r="J48" s="3">
        <v>801</v>
      </c>
      <c r="K48" s="3">
        <v>755</v>
      </c>
      <c r="L48" s="3">
        <f>SUM(H48:K48)/4</f>
        <v>695</v>
      </c>
      <c r="M48" s="10"/>
      <c r="N48" s="3">
        <v>629</v>
      </c>
      <c r="O48" s="3">
        <f>O51*0.135</f>
        <v>594</v>
      </c>
      <c r="P48" s="3">
        <f>P51*0.145</f>
        <v>725</v>
      </c>
      <c r="Q48" s="3">
        <f>Q51*0.145</f>
        <v>828.81999999999994</v>
      </c>
      <c r="R48" s="3">
        <f>SUM(N48:Q48)/4</f>
        <v>694.20499999999993</v>
      </c>
      <c r="S48" s="10"/>
      <c r="T48" s="3">
        <f>T51*0.145</f>
        <v>869.99999999999989</v>
      </c>
      <c r="U48" s="117" t="s">
        <v>95</v>
      </c>
      <c r="V48" s="124" t="s">
        <v>100</v>
      </c>
      <c r="W48" s="70" t="s">
        <v>78</v>
      </c>
      <c r="X48" s="70"/>
      <c r="Y48" s="71"/>
      <c r="Z48" s="70"/>
    </row>
    <row r="49" spans="1:27" x14ac:dyDescent="0.2">
      <c r="A49" s="31" t="s">
        <v>42</v>
      </c>
      <c r="D49" s="31"/>
      <c r="E49" s="99">
        <v>1632</v>
      </c>
      <c r="F49" s="99">
        <v>2463</v>
      </c>
      <c r="G49" s="10"/>
      <c r="H49" s="3">
        <v>3803</v>
      </c>
      <c r="I49" s="3">
        <v>2880</v>
      </c>
      <c r="J49" s="3">
        <v>3861</v>
      </c>
      <c r="K49" s="3">
        <v>3639</v>
      </c>
      <c r="L49" s="3">
        <f>SUM(H49:K49)/4</f>
        <v>3545.75</v>
      </c>
      <c r="M49" s="10"/>
      <c r="N49" s="3">
        <v>3624</v>
      </c>
      <c r="O49" s="3">
        <f>O51*0.135*6</f>
        <v>3564</v>
      </c>
      <c r="P49" s="3">
        <f t="shared" ref="P49" si="7">P51*0.135*6</f>
        <v>4050</v>
      </c>
      <c r="Q49" s="3">
        <f t="shared" ref="Q49" si="8">Q51*0.135*6</f>
        <v>4629.9600000000009</v>
      </c>
      <c r="R49" s="3">
        <f>SUM(N49:Q49)/4</f>
        <v>3966.9900000000002</v>
      </c>
      <c r="S49" s="10"/>
      <c r="T49" s="3">
        <f t="shared" ref="T49" si="9">T51*0.135*6</f>
        <v>4860</v>
      </c>
      <c r="U49" s="117" t="s">
        <v>96</v>
      </c>
      <c r="V49" s="124" t="s">
        <v>87</v>
      </c>
      <c r="W49" s="124"/>
      <c r="X49" s="124"/>
      <c r="Y49" s="126"/>
      <c r="Z49" s="124"/>
      <c r="AA49" s="127"/>
    </row>
    <row r="50" spans="1:27" x14ac:dyDescent="0.2">
      <c r="A50" s="31"/>
      <c r="E50" s="4"/>
      <c r="F50" s="4"/>
      <c r="G50" s="11"/>
      <c r="H50" s="4"/>
      <c r="I50" s="4"/>
      <c r="J50" s="4"/>
      <c r="K50" s="4"/>
      <c r="L50" s="4"/>
      <c r="M50" s="11"/>
      <c r="N50" s="4"/>
      <c r="O50" s="4"/>
      <c r="P50" s="4"/>
      <c r="Q50" s="4"/>
      <c r="R50" s="4"/>
      <c r="S50" s="11"/>
      <c r="T50" s="4"/>
      <c r="U50" s="85"/>
      <c r="V50" s="85"/>
      <c r="W50" s="86"/>
      <c r="X50" s="86"/>
      <c r="Y50" s="87"/>
      <c r="Z50" s="31"/>
    </row>
    <row r="51" spans="1:27" x14ac:dyDescent="0.2">
      <c r="D51" t="s">
        <v>43</v>
      </c>
      <c r="E51" s="99">
        <f>E47+E48+E49/6</f>
        <v>2797</v>
      </c>
      <c r="F51" s="99">
        <f>F47+F48+F49/6</f>
        <v>3476.5</v>
      </c>
      <c r="G51" s="100"/>
      <c r="H51" s="99">
        <f>H47+H48+(H49/6)</f>
        <v>4076.8333333333335</v>
      </c>
      <c r="I51" s="99">
        <f>I47+I48+(I49/6)</f>
        <v>3220</v>
      </c>
      <c r="J51" s="99">
        <f>J47+J48+(J49/6)</f>
        <v>4253.5</v>
      </c>
      <c r="K51" s="99">
        <f>K47+K48+(K49/6)</f>
        <v>4492.5</v>
      </c>
      <c r="L51" s="99">
        <f>L47+L48+L49/6</f>
        <v>4010.7083333333335</v>
      </c>
      <c r="M51" s="100"/>
      <c r="N51" s="99">
        <f>N47+N48+(N49/6)</f>
        <v>4685</v>
      </c>
      <c r="O51" s="99">
        <v>4400</v>
      </c>
      <c r="P51" s="99">
        <v>5000</v>
      </c>
      <c r="Q51" s="99">
        <v>5716</v>
      </c>
      <c r="R51" s="99">
        <f>R47+R48+R49/6</f>
        <v>4950.25</v>
      </c>
      <c r="S51" s="100"/>
      <c r="T51" s="99">
        <v>6000</v>
      </c>
      <c r="U51" s="85" t="s">
        <v>103</v>
      </c>
      <c r="V51" s="85"/>
      <c r="W51" s="85"/>
      <c r="X51" s="85"/>
      <c r="Y51" s="87"/>
      <c r="Z51" s="129"/>
      <c r="AA51" s="129"/>
    </row>
    <row r="52" spans="1:27" x14ac:dyDescent="0.2">
      <c r="A52" t="s">
        <v>44</v>
      </c>
      <c r="E52" s="101">
        <v>0.70799999999999996</v>
      </c>
      <c r="F52" s="101">
        <v>0.24299999999999999</v>
      </c>
      <c r="G52" s="10"/>
      <c r="H52" s="17"/>
      <c r="I52" s="3"/>
      <c r="J52" s="3"/>
      <c r="K52" s="17"/>
      <c r="L52" s="101">
        <f>(L51-F51)/F51</f>
        <v>0.15366268756891513</v>
      </c>
      <c r="M52" s="10"/>
      <c r="N52" s="17"/>
      <c r="O52" s="3"/>
      <c r="P52" s="3"/>
      <c r="Q52" s="17"/>
      <c r="R52" s="101">
        <f>(R51-L51)/L51</f>
        <v>0.2342582877089458</v>
      </c>
      <c r="S52" s="10"/>
      <c r="T52" s="101">
        <f>(T51-R51)/R51</f>
        <v>0.21205999696985001</v>
      </c>
      <c r="U52" s="25" t="s">
        <v>45</v>
      </c>
      <c r="V52" s="25"/>
      <c r="W52" s="25"/>
    </row>
    <row r="53" spans="1:27" x14ac:dyDescent="0.2">
      <c r="A53" s="31" t="s">
        <v>46</v>
      </c>
      <c r="D53" s="31"/>
      <c r="E53" s="5">
        <v>78.22</v>
      </c>
      <c r="F53" s="5">
        <v>73.960999999999999</v>
      </c>
      <c r="G53" s="15"/>
      <c r="H53" s="49">
        <v>70.513000000000005</v>
      </c>
      <c r="I53" s="24">
        <v>62.45</v>
      </c>
      <c r="J53" s="24">
        <v>63.98</v>
      </c>
      <c r="K53" s="49">
        <v>56.64</v>
      </c>
      <c r="L53" s="24">
        <f>SUM(H53:K53)/4</f>
        <v>63.395750000000007</v>
      </c>
      <c r="M53" s="15"/>
      <c r="N53" s="49">
        <v>71.257999999999996</v>
      </c>
      <c r="O53" s="24">
        <f>W76-1.85</f>
        <v>85.326292029887924</v>
      </c>
      <c r="P53" s="24">
        <f>W85-1.85</f>
        <v>92.158541666666679</v>
      </c>
      <c r="Q53" s="49">
        <f>W94-1.85</f>
        <v>82.430333955368951</v>
      </c>
      <c r="R53" s="24">
        <f>SUM(N53:Q53)/4</f>
        <v>82.793291912980891</v>
      </c>
      <c r="S53" s="15"/>
      <c r="T53" s="24">
        <f>W103-1.85</f>
        <v>77.981307870370372</v>
      </c>
      <c r="U53" s="31" t="s">
        <v>47</v>
      </c>
    </row>
    <row r="54" spans="1:27" x14ac:dyDescent="0.2">
      <c r="A54" s="31" t="s">
        <v>48</v>
      </c>
      <c r="D54" s="31"/>
      <c r="E54" s="5">
        <v>20.75</v>
      </c>
      <c r="F54" s="5">
        <v>22.62</v>
      </c>
      <c r="G54" s="15"/>
      <c r="H54" s="49">
        <v>30.67</v>
      </c>
      <c r="I54" s="49">
        <v>17.59</v>
      </c>
      <c r="J54" s="49">
        <v>19.739999999999998</v>
      </c>
      <c r="K54" s="49">
        <v>15.05</v>
      </c>
      <c r="L54" s="24">
        <f>SUM(H54:K54)/4</f>
        <v>20.762499999999999</v>
      </c>
      <c r="M54" s="15"/>
      <c r="N54" s="49">
        <v>22.21</v>
      </c>
      <c r="O54" s="49">
        <v>24</v>
      </c>
      <c r="P54" s="49">
        <v>26</v>
      </c>
      <c r="Q54" s="49">
        <v>28</v>
      </c>
      <c r="R54" s="24">
        <f>SUM(N54:Q54)/4</f>
        <v>25.052500000000002</v>
      </c>
      <c r="S54" s="15"/>
      <c r="T54" s="24">
        <v>28</v>
      </c>
      <c r="U54" s="31" t="s">
        <v>59</v>
      </c>
    </row>
    <row r="55" spans="1:27" x14ac:dyDescent="0.2">
      <c r="A55" s="31" t="s">
        <v>49</v>
      </c>
      <c r="D55" s="31"/>
      <c r="E55" s="5">
        <v>2.78</v>
      </c>
      <c r="F55" s="5">
        <v>1.69</v>
      </c>
      <c r="G55" s="15"/>
      <c r="H55" s="49">
        <v>3.85</v>
      </c>
      <c r="I55" s="49">
        <v>3.09</v>
      </c>
      <c r="J55" s="49">
        <v>2.71</v>
      </c>
      <c r="K55" s="49">
        <v>2.56</v>
      </c>
      <c r="L55" s="24">
        <f>SUM(H55:K55)/4</f>
        <v>3.0524999999999998</v>
      </c>
      <c r="M55" s="15"/>
      <c r="N55" s="49">
        <v>4.79</v>
      </c>
      <c r="O55" s="49">
        <v>2.6</v>
      </c>
      <c r="P55" s="49">
        <v>2.9</v>
      </c>
      <c r="Q55" s="49">
        <v>3.4</v>
      </c>
      <c r="R55" s="24">
        <f>SUM(N55:Q55)/4</f>
        <v>3.4225000000000003</v>
      </c>
      <c r="S55" s="15"/>
      <c r="T55" s="24">
        <v>3.4</v>
      </c>
      <c r="U55" s="31" t="s">
        <v>74</v>
      </c>
    </row>
    <row r="56" spans="1:27" x14ac:dyDescent="0.2">
      <c r="A56" s="31"/>
      <c r="E56" s="5"/>
      <c r="F56" s="5"/>
      <c r="G56" s="15"/>
      <c r="H56" s="18"/>
      <c r="I56" s="18"/>
      <c r="J56" s="18"/>
      <c r="K56" s="18"/>
      <c r="L56" s="5"/>
      <c r="M56" s="15"/>
      <c r="N56" s="18"/>
      <c r="O56" s="18"/>
      <c r="P56" s="18"/>
      <c r="Q56" s="18"/>
      <c r="R56" s="5"/>
      <c r="S56" s="15"/>
      <c r="T56" s="24"/>
      <c r="U56" s="31"/>
    </row>
    <row r="57" spans="1:27" x14ac:dyDescent="0.2">
      <c r="A57" t="s">
        <v>50</v>
      </c>
      <c r="E57" s="102">
        <f>(E47*E53*365)/1000+(E48*E54*365)/1000+(E49*E55*365)/1000</f>
        <v>65774.408899999995</v>
      </c>
      <c r="F57" s="102">
        <f>(F47*F53*366)/1000+(F48*F54*366)/1000+(F49*F55*366)/1000</f>
        <v>74240.673053999999</v>
      </c>
      <c r="G57" s="103"/>
      <c r="H57" s="102">
        <f>(H47*H53*90)/1000+(H48*H54*90)/1000+(H49*H55*90)/1000</f>
        <v>21019.666679999998</v>
      </c>
      <c r="I57" s="102">
        <f>(I47*I53*91)/1000+(I48*I54*91)/1000+(I49*I55*91)/1000</f>
        <v>13829.697699999999</v>
      </c>
      <c r="J57" s="102">
        <f>(J47*J53*92)/1000+(J48*J54*92)/1000+(J49*J55*92)/1000</f>
        <v>18951.528039999997</v>
      </c>
      <c r="K57" s="102">
        <f>(K47*K53*92)/1000+(K48*K54*92)/1000+(K49*K55*92)/1000</f>
        <v>18217.69556</v>
      </c>
      <c r="L57" s="102">
        <f>SUM(H57:K57)</f>
        <v>72018.587979999997</v>
      </c>
      <c r="M57" s="103"/>
      <c r="N57" s="102">
        <f>(N47*N53*90)/1000+(N48*N54*90)/1000+(N49*N55*90)/1000</f>
        <v>24958.049939999997</v>
      </c>
      <c r="O57" s="102">
        <f>(O47*O53*91)/1000+(O48*O54*91)/1000+(O49*O55*91)/1000</f>
        <v>27080.730949999997</v>
      </c>
      <c r="P57" s="102">
        <f>(P47*P53*92)/1000+(P48*P54*92)/1000+(P49*P55*92)/1000</f>
        <v>33337.649000000005</v>
      </c>
      <c r="Q57" s="102">
        <f>(Q47*Q53*92)/1000+(Q48*Q54*92)/1000+(Q49*Q55*92)/1000</f>
        <v>34793.711103999995</v>
      </c>
      <c r="R57" s="102">
        <f>SUM(N57:Q57)</f>
        <v>120170.14099399999</v>
      </c>
      <c r="S57" s="103"/>
      <c r="T57" s="102">
        <f>(T47*T53*365)/1000+(T48*T54*365)/1000+(T49*T55*365)/1000</f>
        <v>137883.58625000002</v>
      </c>
      <c r="U57" s="20" t="s">
        <v>51</v>
      </c>
      <c r="V57" s="20"/>
    </row>
    <row r="58" spans="1:27" x14ac:dyDescent="0.2">
      <c r="E58" s="1"/>
      <c r="F58" s="1"/>
      <c r="G58" s="1"/>
      <c r="H58" s="130"/>
      <c r="I58" s="131"/>
      <c r="J58" s="131"/>
      <c r="K58" s="131"/>
      <c r="L58" s="132" t="s">
        <v>71</v>
      </c>
      <c r="M58" s="133"/>
      <c r="N58" s="134">
        <v>24958</v>
      </c>
      <c r="O58" s="110">
        <v>29840</v>
      </c>
      <c r="P58" s="110">
        <v>35780</v>
      </c>
      <c r="Q58" s="128" t="s">
        <v>92</v>
      </c>
      <c r="R58" s="110">
        <v>120820</v>
      </c>
      <c r="S58" s="1"/>
      <c r="T58" s="110">
        <v>120670</v>
      </c>
      <c r="U58" s="81" t="s">
        <v>73</v>
      </c>
      <c r="V58" s="81"/>
      <c r="W58" s="81"/>
      <c r="X58" s="20"/>
      <c r="Y58" s="20"/>
    </row>
    <row r="59" spans="1:27" x14ac:dyDescent="0.2">
      <c r="E59" s="1"/>
      <c r="F59" s="1"/>
      <c r="G59" s="1"/>
      <c r="H59" s="1"/>
      <c r="I59" s="1"/>
      <c r="J59" s="1"/>
      <c r="K59" s="1"/>
      <c r="L59" s="1"/>
      <c r="M59" s="1"/>
      <c r="N59" s="107"/>
      <c r="O59" s="107"/>
      <c r="P59" s="107"/>
      <c r="Q59" s="107"/>
      <c r="R59" s="108"/>
      <c r="S59" s="1"/>
      <c r="T59" s="107"/>
      <c r="U59" s="20"/>
      <c r="V59" s="20"/>
      <c r="W59" s="20"/>
      <c r="X59" s="20"/>
      <c r="Y59" s="20"/>
    </row>
    <row r="60" spans="1:27" ht="15" x14ac:dyDescent="0.2">
      <c r="A60" s="40"/>
      <c r="E60" s="1"/>
      <c r="F60" s="1"/>
      <c r="G60" s="1"/>
      <c r="H60" s="1"/>
      <c r="I60" s="1"/>
      <c r="J60" s="1"/>
      <c r="K60" s="20"/>
      <c r="T60" s="31"/>
      <c r="W60" s="67" t="s">
        <v>83</v>
      </c>
    </row>
    <row r="61" spans="1:27" x14ac:dyDescent="0.2">
      <c r="K61" s="20"/>
      <c r="L61" s="20"/>
      <c r="M61" s="20"/>
      <c r="N61" s="20"/>
      <c r="W61" s="67" t="s">
        <v>52</v>
      </c>
      <c r="Z61" s="67"/>
    </row>
    <row r="62" spans="1:27" x14ac:dyDescent="0.2">
      <c r="U62" s="31" t="s">
        <v>53</v>
      </c>
      <c r="W62" s="41">
        <f>N47</f>
        <v>3452</v>
      </c>
      <c r="Z62" s="67"/>
    </row>
    <row r="63" spans="1:27" x14ac:dyDescent="0.2">
      <c r="T63" s="31"/>
      <c r="U63" s="31" t="s">
        <v>54</v>
      </c>
      <c r="V63" s="68" t="s">
        <v>55</v>
      </c>
      <c r="X63" s="31"/>
      <c r="Z63" s="41"/>
    </row>
    <row r="64" spans="1:27" x14ac:dyDescent="0.2">
      <c r="T64" s="31"/>
      <c r="U64" s="44">
        <v>533</v>
      </c>
      <c r="V64" s="42">
        <v>68</v>
      </c>
      <c r="W64" s="43">
        <f>(U64/W62)*V64</f>
        <v>10.499420625724218</v>
      </c>
      <c r="X64" s="31"/>
      <c r="Y64" s="68"/>
    </row>
    <row r="65" spans="20:26" x14ac:dyDescent="0.2">
      <c r="T65" s="44"/>
      <c r="U65" s="41">
        <v>0</v>
      </c>
      <c r="V65" s="42">
        <v>0</v>
      </c>
      <c r="W65" s="43">
        <f>U65/W62*V65</f>
        <v>0</v>
      </c>
      <c r="X65" s="44"/>
      <c r="Y65" s="42"/>
      <c r="Z65" s="43"/>
    </row>
    <row r="66" spans="20:26" x14ac:dyDescent="0.2">
      <c r="T66" s="41"/>
      <c r="U66" s="74">
        <f>W62-U64-U65</f>
        <v>2919</v>
      </c>
      <c r="V66" s="42">
        <v>71.930000000000007</v>
      </c>
      <c r="W66" s="76">
        <f>U66/W62*V66</f>
        <v>60.823774623406727</v>
      </c>
      <c r="X66" s="41"/>
      <c r="Y66" s="43"/>
      <c r="Z66" s="43"/>
    </row>
    <row r="67" spans="20:26" x14ac:dyDescent="0.2">
      <c r="T67" s="41"/>
      <c r="U67" s="69">
        <f>SUM(U64:U66)</f>
        <v>3452</v>
      </c>
      <c r="V67" s="73"/>
      <c r="W67" s="45">
        <f>SUM(W64:W66)</f>
        <v>71.323195249130947</v>
      </c>
      <c r="X67" s="41"/>
      <c r="Y67" s="43"/>
      <c r="Z67" s="43"/>
    </row>
    <row r="68" spans="20:26" x14ac:dyDescent="0.2">
      <c r="T68" s="69"/>
      <c r="U68" s="43"/>
      <c r="V68" s="43"/>
      <c r="W68" s="70"/>
      <c r="X68" s="69"/>
      <c r="Y68" s="43"/>
      <c r="Z68" s="43"/>
    </row>
    <row r="69" spans="20:26" x14ac:dyDescent="0.2">
      <c r="T69" s="69"/>
      <c r="W69" s="67" t="s">
        <v>84</v>
      </c>
      <c r="Z69" s="45"/>
    </row>
    <row r="70" spans="20:26" x14ac:dyDescent="0.2">
      <c r="W70" s="67" t="s">
        <v>52</v>
      </c>
    </row>
    <row r="71" spans="20:26" x14ac:dyDescent="0.2">
      <c r="U71" s="31" t="s">
        <v>53</v>
      </c>
      <c r="W71" s="41">
        <f>O47</f>
        <v>3212</v>
      </c>
      <c r="Z71" s="67"/>
    </row>
    <row r="72" spans="20:26" x14ac:dyDescent="0.2">
      <c r="U72" s="31" t="s">
        <v>54</v>
      </c>
      <c r="V72" s="68" t="s">
        <v>55</v>
      </c>
      <c r="X72" s="31"/>
      <c r="Z72" s="67"/>
    </row>
    <row r="73" spans="20:26" x14ac:dyDescent="0.2">
      <c r="T73" s="31"/>
      <c r="U73" s="44">
        <v>531</v>
      </c>
      <c r="V73" s="42">
        <v>75.25</v>
      </c>
      <c r="W73" s="43">
        <f>(U73/W71)*V73</f>
        <v>12.440146326276462</v>
      </c>
      <c r="X73" s="31"/>
      <c r="Z73" s="41"/>
    </row>
    <row r="74" spans="20:26" x14ac:dyDescent="0.2">
      <c r="T74" s="31"/>
      <c r="U74" s="41">
        <v>495</v>
      </c>
      <c r="V74" s="43">
        <v>87.5</v>
      </c>
      <c r="W74" s="43">
        <f>U74/W71*V74</f>
        <v>13.484589041095891</v>
      </c>
      <c r="X74" s="44"/>
      <c r="Y74" s="68"/>
    </row>
    <row r="75" spans="20:26" x14ac:dyDescent="0.2">
      <c r="T75" s="44"/>
      <c r="U75" s="74">
        <f>W71-U73-U74</f>
        <v>2186</v>
      </c>
      <c r="V75" s="75">
        <v>90</v>
      </c>
      <c r="W75" s="76">
        <f>U75/W71*V75</f>
        <v>61.251556662515561</v>
      </c>
      <c r="X75" s="41"/>
      <c r="Y75" s="42"/>
      <c r="Z75" s="43"/>
    </row>
    <row r="76" spans="20:26" x14ac:dyDescent="0.2">
      <c r="T76" s="41"/>
      <c r="U76" s="69">
        <f>SUM(U73:U75)</f>
        <v>3212</v>
      </c>
      <c r="V76" s="73"/>
      <c r="W76" s="45">
        <f>SUM(W73:W75)</f>
        <v>87.176292029887918</v>
      </c>
      <c r="X76" s="41"/>
      <c r="Y76" s="43"/>
      <c r="Z76" s="43"/>
    </row>
    <row r="77" spans="20:26" x14ac:dyDescent="0.2">
      <c r="T77" s="41"/>
      <c r="U77" s="43"/>
      <c r="V77" s="43"/>
      <c r="X77" s="41"/>
      <c r="Y77" s="43"/>
      <c r="Z77" s="43"/>
    </row>
    <row r="78" spans="20:26" x14ac:dyDescent="0.2">
      <c r="T78" s="69"/>
      <c r="W78" s="67" t="s">
        <v>85</v>
      </c>
      <c r="Y78" s="43"/>
      <c r="Z78" s="43"/>
    </row>
    <row r="79" spans="20:26" x14ac:dyDescent="0.2">
      <c r="T79" s="69"/>
      <c r="W79" s="67" t="s">
        <v>52</v>
      </c>
      <c r="Z79" s="45"/>
    </row>
    <row r="80" spans="20:26" x14ac:dyDescent="0.2">
      <c r="U80" s="31" t="s">
        <v>53</v>
      </c>
      <c r="W80" s="41">
        <f>P47</f>
        <v>3600</v>
      </c>
    </row>
    <row r="81" spans="11:26" x14ac:dyDescent="0.2">
      <c r="U81" s="31" t="s">
        <v>54</v>
      </c>
      <c r="V81" s="68" t="s">
        <v>55</v>
      </c>
      <c r="X81" s="31"/>
      <c r="Z81" s="67"/>
    </row>
    <row r="82" spans="11:26" x14ac:dyDescent="0.2">
      <c r="U82" s="44">
        <v>525</v>
      </c>
      <c r="V82" s="42">
        <v>66.75</v>
      </c>
      <c r="W82" s="43">
        <f>(U82/W80)*V82</f>
        <v>9.734375</v>
      </c>
      <c r="X82" s="31"/>
      <c r="Z82" s="67"/>
    </row>
    <row r="83" spans="11:26" x14ac:dyDescent="0.2">
      <c r="T83" s="31"/>
      <c r="U83" s="41">
        <v>457</v>
      </c>
      <c r="V83" s="43">
        <v>91</v>
      </c>
      <c r="W83" s="43">
        <f>U83/W80*V83</f>
        <v>11.551944444444445</v>
      </c>
      <c r="X83" s="44"/>
      <c r="Z83" s="41"/>
    </row>
    <row r="84" spans="11:26" x14ac:dyDescent="0.2">
      <c r="T84" s="31"/>
      <c r="U84" s="74">
        <f>W80-U82-U83</f>
        <v>2618</v>
      </c>
      <c r="V84" s="75">
        <v>100</v>
      </c>
      <c r="W84" s="76">
        <f>U84/W80*V84</f>
        <v>72.722222222222229</v>
      </c>
      <c r="X84" s="41"/>
      <c r="Y84" s="68"/>
    </row>
    <row r="85" spans="11:26" x14ac:dyDescent="0.2">
      <c r="T85" s="44"/>
      <c r="U85" s="69">
        <f>SUM(U82:U84)</f>
        <v>3600</v>
      </c>
      <c r="V85" s="73"/>
      <c r="W85" s="45">
        <f>SUM(W82:W84)</f>
        <v>94.008541666666673</v>
      </c>
      <c r="X85" s="41"/>
      <c r="Y85" s="42"/>
      <c r="Z85" s="43"/>
    </row>
    <row r="86" spans="11:26" x14ac:dyDescent="0.2">
      <c r="T86" s="41"/>
      <c r="U86" s="42"/>
      <c r="V86" s="43"/>
      <c r="X86" s="41"/>
      <c r="Y86" s="52"/>
      <c r="Z86" s="43"/>
    </row>
    <row r="87" spans="11:26" x14ac:dyDescent="0.2">
      <c r="T87" s="41"/>
      <c r="W87" s="67" t="s">
        <v>86</v>
      </c>
      <c r="Y87" s="43"/>
      <c r="Z87" s="43"/>
    </row>
    <row r="88" spans="11:26" x14ac:dyDescent="0.2">
      <c r="T88" s="69"/>
      <c r="W88" s="67" t="s">
        <v>52</v>
      </c>
      <c r="Y88" s="43"/>
      <c r="Z88" s="43"/>
    </row>
    <row r="89" spans="11:26" x14ac:dyDescent="0.2">
      <c r="T89" s="69"/>
      <c r="U89" s="31" t="s">
        <v>53</v>
      </c>
      <c r="W89" s="41">
        <f>Q47</f>
        <v>4115.5199999999995</v>
      </c>
      <c r="Z89" s="45"/>
    </row>
    <row r="90" spans="11:26" x14ac:dyDescent="0.2">
      <c r="U90" s="31" t="s">
        <v>54</v>
      </c>
      <c r="V90" s="68" t="s">
        <v>55</v>
      </c>
      <c r="X90" s="31"/>
    </row>
    <row r="91" spans="11:26" x14ac:dyDescent="0.2">
      <c r="U91" s="44">
        <v>457</v>
      </c>
      <c r="V91" s="42">
        <v>91</v>
      </c>
      <c r="W91" s="43">
        <f>(U91/W89)*V91</f>
        <v>10.104919912915015</v>
      </c>
      <c r="X91" s="31"/>
    </row>
    <row r="92" spans="11:26" x14ac:dyDescent="0.2">
      <c r="U92" s="41">
        <v>361</v>
      </c>
      <c r="V92" s="43">
        <v>69.2</v>
      </c>
      <c r="W92" s="43">
        <f>U92/W89*V92</f>
        <v>6.0699984449109721</v>
      </c>
      <c r="X92" s="44"/>
    </row>
    <row r="93" spans="11:26" x14ac:dyDescent="0.2">
      <c r="K93" s="135" t="s">
        <v>81</v>
      </c>
      <c r="L93" s="136"/>
      <c r="M93" s="136"/>
      <c r="N93" s="136"/>
      <c r="O93" s="136"/>
      <c r="P93" s="136"/>
      <c r="Q93" s="136"/>
      <c r="R93" s="136"/>
      <c r="S93" s="136"/>
      <c r="U93" s="74">
        <f>W89-U91-U92</f>
        <v>3297.5199999999995</v>
      </c>
      <c r="V93" s="75">
        <v>85</v>
      </c>
      <c r="W93" s="76">
        <f>U93/W89*V93</f>
        <v>68.105415597542958</v>
      </c>
      <c r="X93" s="41"/>
    </row>
    <row r="94" spans="11:26" x14ac:dyDescent="0.2">
      <c r="K94" s="136"/>
      <c r="L94" s="136"/>
      <c r="M94" s="136"/>
      <c r="N94" s="136"/>
      <c r="O94" s="136"/>
      <c r="P94" s="136"/>
      <c r="Q94" s="136"/>
      <c r="R94" s="136"/>
      <c r="S94" s="136"/>
      <c r="U94" s="69">
        <f>SUM(U91:U93)</f>
        <v>4115.5199999999995</v>
      </c>
      <c r="V94" s="73"/>
      <c r="W94" s="45">
        <f>SUM(W91:W93)</f>
        <v>84.280333955368945</v>
      </c>
      <c r="X94" s="41"/>
    </row>
    <row r="95" spans="11:26" x14ac:dyDescent="0.2">
      <c r="K95" s="136"/>
      <c r="L95" s="136"/>
      <c r="M95" s="136"/>
      <c r="N95" s="136"/>
      <c r="O95" s="136"/>
      <c r="P95" s="136"/>
      <c r="Q95" s="136"/>
      <c r="R95" s="136"/>
      <c r="S95" s="136"/>
    </row>
    <row r="96" spans="11:26" x14ac:dyDescent="0.2">
      <c r="K96" s="136"/>
      <c r="L96" s="136"/>
      <c r="M96" s="136"/>
      <c r="N96" s="136"/>
      <c r="O96" s="136"/>
      <c r="P96" s="136"/>
      <c r="Q96" s="136"/>
      <c r="R96" s="136"/>
      <c r="S96" s="136"/>
      <c r="W96" s="116">
        <v>2027</v>
      </c>
    </row>
    <row r="97" spans="11:28" x14ac:dyDescent="0.2">
      <c r="K97" s="1"/>
      <c r="L97" s="1"/>
      <c r="M97" s="1"/>
      <c r="N97" s="31"/>
      <c r="O97" s="1"/>
      <c r="P97" s="1"/>
      <c r="Q97" s="33"/>
      <c r="R97" s="33"/>
      <c r="W97" s="67" t="s">
        <v>52</v>
      </c>
    </row>
    <row r="98" spans="11:28" ht="15" x14ac:dyDescent="0.2">
      <c r="K98" s="118" t="s">
        <v>80</v>
      </c>
      <c r="L98" s="1"/>
      <c r="M98" s="1"/>
      <c r="N98" s="82"/>
      <c r="O98" s="34"/>
      <c r="P98" s="34"/>
      <c r="Q98" s="33"/>
      <c r="R98" s="33"/>
      <c r="U98" s="31" t="s">
        <v>53</v>
      </c>
      <c r="W98" s="41">
        <f>T47</f>
        <v>4320</v>
      </c>
    </row>
    <row r="99" spans="11:28" x14ac:dyDescent="0.2">
      <c r="K99" s="1"/>
      <c r="L99" s="1"/>
      <c r="M99" s="1"/>
      <c r="N99" s="82"/>
      <c r="O99" s="34"/>
      <c r="P99" s="34"/>
      <c r="Q99" s="33"/>
      <c r="R99" s="33"/>
      <c r="U99" s="31" t="s">
        <v>54</v>
      </c>
      <c r="V99" s="68" t="s">
        <v>55</v>
      </c>
      <c r="X99" s="31"/>
    </row>
    <row r="100" spans="11:28" x14ac:dyDescent="0.2">
      <c r="K100" s="1"/>
      <c r="L100" s="34" t="s">
        <v>64</v>
      </c>
      <c r="M100" s="1"/>
      <c r="N100" s="82"/>
      <c r="O100" s="34"/>
      <c r="P100" s="119">
        <v>562500</v>
      </c>
      <c r="Q100" s="33"/>
      <c r="R100" s="33"/>
      <c r="U100" s="44">
        <v>49</v>
      </c>
      <c r="V100" s="42">
        <v>80.25</v>
      </c>
      <c r="W100" s="43">
        <f>(U100/W98)*V100</f>
        <v>0.91024305555555562</v>
      </c>
      <c r="X100" s="31"/>
    </row>
    <row r="101" spans="11:28" x14ac:dyDescent="0.2">
      <c r="K101" s="1"/>
      <c r="L101" s="31" t="s">
        <v>82</v>
      </c>
      <c r="Q101" s="33"/>
      <c r="R101" s="33"/>
      <c r="U101" s="41">
        <v>247</v>
      </c>
      <c r="V101" s="43">
        <v>77</v>
      </c>
      <c r="W101" s="43">
        <f>U101/W98*V101</f>
        <v>4.4025462962962969</v>
      </c>
      <c r="X101" s="44"/>
    </row>
    <row r="102" spans="11:28" x14ac:dyDescent="0.2">
      <c r="K102" s="1"/>
      <c r="L102" s="34" t="s">
        <v>65</v>
      </c>
      <c r="M102" s="1"/>
      <c r="N102" s="35"/>
      <c r="O102" s="34"/>
      <c r="P102" s="34">
        <v>12029</v>
      </c>
      <c r="Q102" s="33"/>
      <c r="R102" s="33"/>
      <c r="U102" s="74">
        <f>W98-U100-U101</f>
        <v>4024</v>
      </c>
      <c r="V102" s="75">
        <v>80</v>
      </c>
      <c r="W102" s="76">
        <f>U102/W98*V102</f>
        <v>74.518518518518519</v>
      </c>
      <c r="X102" s="41"/>
    </row>
    <row r="103" spans="11:28" x14ac:dyDescent="0.2">
      <c r="K103" s="1"/>
      <c r="L103" s="34" t="s">
        <v>66</v>
      </c>
      <c r="M103" s="1"/>
      <c r="N103" s="82"/>
      <c r="O103" s="34"/>
      <c r="P103" s="34">
        <v>-214602</v>
      </c>
      <c r="U103" s="69">
        <f>SUM(U100:U102)</f>
        <v>4320</v>
      </c>
      <c r="V103" s="73"/>
      <c r="W103" s="45">
        <f>SUM(W100:W102)</f>
        <v>79.831307870370367</v>
      </c>
      <c r="X103" s="41"/>
    </row>
    <row r="104" spans="11:28" x14ac:dyDescent="0.2">
      <c r="K104" s="1"/>
      <c r="L104" s="34" t="s">
        <v>67</v>
      </c>
      <c r="M104" s="1"/>
      <c r="N104" s="1"/>
      <c r="P104" s="120">
        <v>-65464</v>
      </c>
    </row>
    <row r="105" spans="11:28" x14ac:dyDescent="0.2">
      <c r="K105" s="1"/>
      <c r="L105" s="1"/>
      <c r="M105" s="1"/>
      <c r="N105" s="1"/>
      <c r="P105" s="121">
        <f>SUM(P100:P104)</f>
        <v>294463</v>
      </c>
    </row>
    <row r="106" spans="11:28" x14ac:dyDescent="0.2">
      <c r="K106" s="1"/>
      <c r="L106" s="34" t="s">
        <v>68</v>
      </c>
      <c r="M106" s="1"/>
      <c r="N106" s="1"/>
      <c r="P106" s="120">
        <v>35000</v>
      </c>
    </row>
    <row r="107" spans="11:28" x14ac:dyDescent="0.2">
      <c r="K107" s="1"/>
      <c r="L107" s="1"/>
      <c r="M107" s="1"/>
      <c r="N107" s="1"/>
      <c r="Y107" s="52" t="s">
        <v>93</v>
      </c>
      <c r="Z107" s="52"/>
      <c r="AA107" s="52"/>
      <c r="AB107" s="52"/>
    </row>
    <row r="108" spans="11:28" ht="13.5" thickBot="1" x14ac:dyDescent="0.25">
      <c r="K108" s="1"/>
      <c r="L108" s="28" t="s">
        <v>69</v>
      </c>
      <c r="M108" s="28"/>
      <c r="N108" s="28"/>
      <c r="O108" s="20"/>
      <c r="P108" s="122">
        <f>P105/P106</f>
        <v>8.4132285714285722</v>
      </c>
      <c r="R108" s="31" t="s">
        <v>70</v>
      </c>
    </row>
    <row r="109" spans="11:28" ht="13.5" thickTop="1" x14ac:dyDescent="0.2">
      <c r="K109" s="1"/>
      <c r="L109" s="1"/>
      <c r="M109" s="1"/>
      <c r="N109" s="1"/>
    </row>
    <row r="110" spans="11:28" x14ac:dyDescent="0.2">
      <c r="K110" s="1"/>
      <c r="L110" s="1"/>
      <c r="M110" s="1"/>
      <c r="N110" s="1"/>
    </row>
    <row r="111" spans="11:28" x14ac:dyDescent="0.2">
      <c r="K111" s="1"/>
      <c r="L111" s="1"/>
      <c r="M111" s="1"/>
      <c r="N111" s="1"/>
    </row>
    <row r="112" spans="11:28" x14ac:dyDescent="0.2">
      <c r="K112" s="1"/>
      <c r="L112" s="1"/>
      <c r="M112" s="1"/>
      <c r="N112" s="1"/>
    </row>
    <row r="113" spans="5:14" x14ac:dyDescent="0.2">
      <c r="K113" s="1"/>
      <c r="L113" s="1"/>
      <c r="M113" s="1"/>
      <c r="N113" s="1"/>
    </row>
    <row r="114" spans="5:14" x14ac:dyDescent="0.2">
      <c r="K114" s="1"/>
      <c r="L114" s="1"/>
      <c r="M114" s="1"/>
      <c r="N114" s="1"/>
    </row>
    <row r="115" spans="5:14" x14ac:dyDescent="0.2">
      <c r="K115" s="1"/>
      <c r="L115" s="1"/>
      <c r="M115" s="1"/>
      <c r="N115" s="1"/>
    </row>
    <row r="116" spans="5:14" x14ac:dyDescent="0.2">
      <c r="K116" s="1"/>
      <c r="L116" s="1"/>
      <c r="M116" s="1"/>
      <c r="N116" s="1"/>
    </row>
    <row r="117" spans="5:14" x14ac:dyDescent="0.2"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5:14" x14ac:dyDescent="0.2"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5:14" x14ac:dyDescent="0.2"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5:14" x14ac:dyDescent="0.2"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5:14" x14ac:dyDescent="0.2"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5:14" x14ac:dyDescent="0.2"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5:14" x14ac:dyDescent="0.2"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5:14" x14ac:dyDescent="0.2"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5:14" x14ac:dyDescent="0.2"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5:14" x14ac:dyDescent="0.2"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5:14" x14ac:dyDescent="0.2"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5:14" x14ac:dyDescent="0.2"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5:20" x14ac:dyDescent="0.2">
      <c r="E129" s="1"/>
      <c r="F129" s="1"/>
      <c r="G129" s="1"/>
      <c r="H129" s="1"/>
      <c r="I129" s="1"/>
      <c r="J129" s="1"/>
    </row>
    <row r="130" spans="5:20" x14ac:dyDescent="0.2">
      <c r="E130" s="1"/>
      <c r="F130" s="1"/>
      <c r="G130" s="1"/>
      <c r="H130" s="1"/>
      <c r="I130" s="1"/>
      <c r="J130" s="1"/>
      <c r="O130" s="1"/>
      <c r="P130" s="1"/>
      <c r="Q130" s="1"/>
      <c r="R130" s="1"/>
      <c r="S130" s="1"/>
      <c r="T130" s="1"/>
    </row>
    <row r="131" spans="5:20" x14ac:dyDescent="0.2">
      <c r="E131" s="1"/>
      <c r="F131" s="1"/>
      <c r="G131" s="1"/>
      <c r="H131" s="1"/>
      <c r="I131" s="1"/>
      <c r="J131" s="1"/>
      <c r="O131" s="1"/>
      <c r="P131" s="1"/>
      <c r="Q131" s="1"/>
      <c r="R131" s="1"/>
      <c r="S131" s="1"/>
      <c r="T131" s="1"/>
    </row>
    <row r="132" spans="5:20" x14ac:dyDescent="0.2">
      <c r="E132" s="1"/>
      <c r="F132" s="1"/>
      <c r="G132" s="1"/>
      <c r="H132" s="1"/>
      <c r="I132" s="1"/>
      <c r="J132" s="1"/>
      <c r="O132" s="1"/>
      <c r="P132" s="1"/>
      <c r="Q132" s="1"/>
      <c r="R132" s="1"/>
      <c r="S132" s="1"/>
      <c r="T132" s="1"/>
    </row>
    <row r="133" spans="5:20" x14ac:dyDescent="0.2">
      <c r="E133" s="1"/>
      <c r="F133" s="1"/>
      <c r="G133" s="1"/>
      <c r="H133" s="1"/>
      <c r="I133" s="1"/>
      <c r="J133" s="1"/>
      <c r="O133" s="1"/>
      <c r="P133" s="1"/>
      <c r="Q133" s="1"/>
      <c r="R133" s="1"/>
      <c r="S133" s="1"/>
      <c r="T133" s="1"/>
    </row>
    <row r="134" spans="5:20" x14ac:dyDescent="0.2">
      <c r="E134" s="1"/>
      <c r="F134" s="1"/>
      <c r="G134" s="1"/>
      <c r="H134" s="1"/>
      <c r="I134" s="1"/>
      <c r="J134" s="1"/>
      <c r="O134" s="1"/>
      <c r="P134" s="1"/>
      <c r="Q134" s="1"/>
      <c r="R134" s="1"/>
      <c r="S134" s="1"/>
      <c r="T134" s="1"/>
    </row>
    <row r="135" spans="5:20" x14ac:dyDescent="0.2">
      <c r="E135" s="1"/>
      <c r="F135" s="1"/>
      <c r="G135" s="1"/>
      <c r="H135" s="1"/>
      <c r="I135" s="1"/>
      <c r="J135" s="1"/>
      <c r="O135" s="1"/>
      <c r="P135" s="1"/>
      <c r="Q135" s="1"/>
      <c r="R135" s="1"/>
      <c r="S135" s="1"/>
      <c r="T135" s="1"/>
    </row>
    <row r="136" spans="5:20" x14ac:dyDescent="0.2">
      <c r="E136" s="1"/>
      <c r="F136" s="1"/>
      <c r="G136" s="1"/>
      <c r="H136" s="1"/>
      <c r="I136" s="1"/>
      <c r="J136" s="1"/>
      <c r="O136" s="1"/>
      <c r="P136" s="1"/>
      <c r="Q136" s="1"/>
      <c r="R136" s="1"/>
      <c r="S136" s="1"/>
      <c r="T136" s="1"/>
    </row>
    <row r="137" spans="5:20" x14ac:dyDescent="0.2">
      <c r="E137" s="1"/>
      <c r="F137" s="1"/>
      <c r="G137" s="1"/>
      <c r="H137" s="1"/>
      <c r="I137" s="1"/>
      <c r="J137" s="1"/>
      <c r="O137" s="1"/>
      <c r="P137" s="1"/>
      <c r="Q137" s="1"/>
      <c r="R137" s="1"/>
      <c r="S137" s="1"/>
      <c r="T137" s="1"/>
    </row>
    <row r="138" spans="5:20" x14ac:dyDescent="0.2">
      <c r="E138" s="1"/>
      <c r="F138" s="1"/>
      <c r="G138" s="1"/>
      <c r="H138" s="1"/>
      <c r="I138" s="1"/>
      <c r="J138" s="1"/>
      <c r="O138" s="1"/>
      <c r="P138" s="1"/>
      <c r="Q138" s="1"/>
      <c r="R138" s="1"/>
      <c r="S138" s="1"/>
      <c r="T138" s="1"/>
    </row>
    <row r="139" spans="5:20" x14ac:dyDescent="0.2">
      <c r="E139" s="1"/>
      <c r="F139" s="1"/>
      <c r="G139" s="1"/>
      <c r="H139" s="1"/>
      <c r="I139" s="1"/>
      <c r="J139" s="1"/>
      <c r="O139" s="1"/>
      <c r="P139" s="1"/>
      <c r="Q139" s="1"/>
      <c r="R139" s="1"/>
      <c r="S139" s="1"/>
      <c r="T139" s="1"/>
    </row>
    <row r="140" spans="5:20" x14ac:dyDescent="0.2">
      <c r="E140" s="1"/>
      <c r="F140" s="1"/>
      <c r="G140" s="1"/>
      <c r="H140" s="1"/>
      <c r="I140" s="1"/>
      <c r="J140" s="1"/>
      <c r="O140" s="1"/>
      <c r="P140" s="1"/>
      <c r="Q140" s="1"/>
      <c r="R140" s="1"/>
      <c r="S140" s="1"/>
      <c r="T140" s="1"/>
    </row>
    <row r="141" spans="5:20" x14ac:dyDescent="0.2">
      <c r="E141" s="1"/>
      <c r="F141" s="1"/>
      <c r="G141" s="1"/>
      <c r="H141" s="1"/>
      <c r="I141" s="1"/>
      <c r="J141" s="1"/>
      <c r="O141" s="1"/>
      <c r="P141" s="1"/>
      <c r="Q141" s="1"/>
      <c r="R141" s="1"/>
      <c r="S141" s="1"/>
      <c r="T141" s="1"/>
    </row>
    <row r="142" spans="5:20" x14ac:dyDescent="0.2">
      <c r="E142" s="1"/>
      <c r="F142" s="1"/>
      <c r="G142" s="1"/>
      <c r="H142" s="1"/>
      <c r="I142" s="1"/>
      <c r="J142" s="1"/>
      <c r="O142" s="1"/>
      <c r="P142" s="1"/>
      <c r="Q142" s="1"/>
      <c r="R142" s="1"/>
      <c r="S142" s="1"/>
      <c r="T142" s="1"/>
    </row>
    <row r="143" spans="5:20" x14ac:dyDescent="0.2">
      <c r="E143" s="1"/>
      <c r="F143" s="1"/>
      <c r="G143" s="1"/>
      <c r="H143" s="1"/>
      <c r="I143" s="1"/>
      <c r="J143" s="1"/>
      <c r="O143" s="1"/>
      <c r="P143" s="1"/>
      <c r="Q143" s="1"/>
      <c r="R143" s="1"/>
      <c r="S143" s="1"/>
      <c r="T143" s="1"/>
    </row>
    <row r="144" spans="5:20" x14ac:dyDescent="0.2">
      <c r="E144" s="1"/>
      <c r="F144" s="1"/>
      <c r="G144" s="1"/>
      <c r="H144" s="1"/>
      <c r="I144" s="1"/>
      <c r="J144" s="1"/>
      <c r="O144" s="1"/>
      <c r="P144" s="1"/>
      <c r="Q144" s="1"/>
      <c r="R144" s="1"/>
      <c r="S144" s="1"/>
      <c r="T144" s="1"/>
    </row>
    <row r="145" spans="5:20" x14ac:dyDescent="0.2">
      <c r="E145" s="1"/>
      <c r="F145" s="1"/>
      <c r="G145" s="1"/>
      <c r="H145" s="1"/>
      <c r="I145" s="1"/>
      <c r="J145" s="1"/>
      <c r="O145" s="1"/>
      <c r="P145" s="1"/>
      <c r="Q145" s="1"/>
      <c r="R145" s="1"/>
      <c r="S145" s="1"/>
      <c r="T145" s="1"/>
    </row>
    <row r="146" spans="5:20" x14ac:dyDescent="0.2">
      <c r="E146" s="1"/>
      <c r="F146" s="1"/>
      <c r="G146" s="1"/>
      <c r="H146" s="1"/>
      <c r="I146" s="1"/>
      <c r="J146" s="1"/>
      <c r="O146" s="1"/>
      <c r="P146" s="1"/>
      <c r="Q146" s="1"/>
      <c r="R146" s="1"/>
      <c r="S146" s="1"/>
      <c r="T146" s="1"/>
    </row>
    <row r="147" spans="5:20" x14ac:dyDescent="0.2">
      <c r="E147" s="1"/>
      <c r="F147" s="1"/>
      <c r="G147" s="1"/>
      <c r="H147" s="1"/>
      <c r="I147" s="1"/>
      <c r="J147" s="1"/>
      <c r="O147" s="1"/>
      <c r="P147" s="1"/>
      <c r="Q147" s="1"/>
      <c r="R147" s="1"/>
      <c r="S147" s="1"/>
      <c r="T147" s="1"/>
    </row>
    <row r="148" spans="5:20" x14ac:dyDescent="0.2">
      <c r="E148" s="1"/>
      <c r="F148" s="1"/>
      <c r="G148" s="1"/>
      <c r="H148" s="1"/>
      <c r="I148" s="1"/>
      <c r="J148" s="1"/>
      <c r="O148" s="1"/>
      <c r="P148" s="1"/>
      <c r="Q148" s="1"/>
      <c r="R148" s="1"/>
      <c r="S148" s="1"/>
      <c r="T148" s="1"/>
    </row>
    <row r="149" spans="5:20" x14ac:dyDescent="0.2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5:20" x14ac:dyDescent="0.2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5:20" x14ac:dyDescent="0.2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5:20" x14ac:dyDescent="0.2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5:20" x14ac:dyDescent="0.2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5:20" x14ac:dyDescent="0.2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5:20" x14ac:dyDescent="0.2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5:20" x14ac:dyDescent="0.2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5:20" x14ac:dyDescent="0.2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5:20" x14ac:dyDescent="0.2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5:20" x14ac:dyDescent="0.2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5:20" x14ac:dyDescent="0.2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5:20" x14ac:dyDescent="0.2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5:20" x14ac:dyDescent="0.2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5:20" x14ac:dyDescent="0.2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5:20" x14ac:dyDescent="0.2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5:20" x14ac:dyDescent="0.2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5:20" x14ac:dyDescent="0.2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5:20" x14ac:dyDescent="0.2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5:20" x14ac:dyDescent="0.2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5:20" x14ac:dyDescent="0.2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5:20" x14ac:dyDescent="0.2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5:20" x14ac:dyDescent="0.2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5:20" x14ac:dyDescent="0.2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5:20" x14ac:dyDescent="0.2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5:20" x14ac:dyDescent="0.2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5:20" x14ac:dyDescent="0.2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5:20" x14ac:dyDescent="0.2"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5:20" x14ac:dyDescent="0.2"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5:20" x14ac:dyDescent="0.2"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5:20" x14ac:dyDescent="0.2"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5:20" x14ac:dyDescent="0.2"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5:20" x14ac:dyDescent="0.2"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5:20" x14ac:dyDescent="0.2"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5:20" x14ac:dyDescent="0.2"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5:20" x14ac:dyDescent="0.2"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5:20" x14ac:dyDescent="0.2"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5:20" x14ac:dyDescent="0.2"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5:20" x14ac:dyDescent="0.2"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5:20" x14ac:dyDescent="0.2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5:20" x14ac:dyDescent="0.2"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5:20" x14ac:dyDescent="0.2"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5:20" x14ac:dyDescent="0.2"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5:20" x14ac:dyDescent="0.2"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5:20" x14ac:dyDescent="0.2"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5:20" x14ac:dyDescent="0.2"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5:20" x14ac:dyDescent="0.2"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5:20" x14ac:dyDescent="0.2"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5:20" x14ac:dyDescent="0.2"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5:20" x14ac:dyDescent="0.2"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5:20" x14ac:dyDescent="0.2"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5:20" x14ac:dyDescent="0.2"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5:20" x14ac:dyDescent="0.2"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5:20" x14ac:dyDescent="0.2"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5:20" x14ac:dyDescent="0.2"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5:20" x14ac:dyDescent="0.2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5:20" x14ac:dyDescent="0.2"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5:20" x14ac:dyDescent="0.2"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5:20" x14ac:dyDescent="0.2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5:20" x14ac:dyDescent="0.2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5:20" x14ac:dyDescent="0.2"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5:20" x14ac:dyDescent="0.2"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5:20" x14ac:dyDescent="0.2"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5:20" x14ac:dyDescent="0.2"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5:20" x14ac:dyDescent="0.2"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5:20" x14ac:dyDescent="0.2"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5:20" x14ac:dyDescent="0.2"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5:20" x14ac:dyDescent="0.2"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5:20" x14ac:dyDescent="0.2"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5:20" x14ac:dyDescent="0.2"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5:20" x14ac:dyDescent="0.2"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5:20" x14ac:dyDescent="0.2"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5:20" x14ac:dyDescent="0.2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5:20" x14ac:dyDescent="0.2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5:20" x14ac:dyDescent="0.2"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5:20" x14ac:dyDescent="0.2"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5:20" x14ac:dyDescent="0.2"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5:20" x14ac:dyDescent="0.2"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5:20" x14ac:dyDescent="0.2"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5:20" x14ac:dyDescent="0.2"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5:20" x14ac:dyDescent="0.2"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5:20" x14ac:dyDescent="0.2"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5:20" x14ac:dyDescent="0.2"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5:20" x14ac:dyDescent="0.2"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5:20" x14ac:dyDescent="0.2"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5:20" x14ac:dyDescent="0.2"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5:20" x14ac:dyDescent="0.2"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5:20" x14ac:dyDescent="0.2"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5:20" x14ac:dyDescent="0.2"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5:20" x14ac:dyDescent="0.2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5:20" x14ac:dyDescent="0.2"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5:20" x14ac:dyDescent="0.2"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5:20" x14ac:dyDescent="0.2"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5:20" x14ac:dyDescent="0.2"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5:20" x14ac:dyDescent="0.2"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5:20" x14ac:dyDescent="0.2"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5:20" x14ac:dyDescent="0.2"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5:20" x14ac:dyDescent="0.2"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5:20" x14ac:dyDescent="0.2"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5:20" x14ac:dyDescent="0.2"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5:20" x14ac:dyDescent="0.2"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5:20" x14ac:dyDescent="0.2"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5:20" x14ac:dyDescent="0.2"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5:20" x14ac:dyDescent="0.2"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5:20" x14ac:dyDescent="0.2"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5:20" x14ac:dyDescent="0.2"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5:20" x14ac:dyDescent="0.2"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5:20" x14ac:dyDescent="0.2"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5:20" x14ac:dyDescent="0.2"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5:20" x14ac:dyDescent="0.2"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5:20" x14ac:dyDescent="0.2"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5:20" x14ac:dyDescent="0.2"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5:20" x14ac:dyDescent="0.2"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5:20" x14ac:dyDescent="0.2"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5:20" x14ac:dyDescent="0.2"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5:20" x14ac:dyDescent="0.2"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5:20" x14ac:dyDescent="0.2"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5:20" x14ac:dyDescent="0.2"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5:20" x14ac:dyDescent="0.2"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5:20" x14ac:dyDescent="0.2"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5:20" x14ac:dyDescent="0.2"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5:20" x14ac:dyDescent="0.2"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5:20" x14ac:dyDescent="0.2"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5:20" x14ac:dyDescent="0.2"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5:20" x14ac:dyDescent="0.2"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5:20" x14ac:dyDescent="0.2"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5:20" x14ac:dyDescent="0.2"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5:20" x14ac:dyDescent="0.2"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5:20" x14ac:dyDescent="0.2"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5:20" x14ac:dyDescent="0.2"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5:20" x14ac:dyDescent="0.2"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5:20" x14ac:dyDescent="0.2"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5:20" x14ac:dyDescent="0.2"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5:20" x14ac:dyDescent="0.2"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5:20" x14ac:dyDescent="0.2"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5:20" x14ac:dyDescent="0.2"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5:20" x14ac:dyDescent="0.2"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5:20" x14ac:dyDescent="0.2"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5:20" x14ac:dyDescent="0.2"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5:20" x14ac:dyDescent="0.2"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5:20" x14ac:dyDescent="0.2"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5:20" x14ac:dyDescent="0.2"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5:20" x14ac:dyDescent="0.2"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5:20" x14ac:dyDescent="0.2"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5:20" x14ac:dyDescent="0.2"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5:20" x14ac:dyDescent="0.2"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5:20" x14ac:dyDescent="0.2"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5:20" x14ac:dyDescent="0.2"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5:20" x14ac:dyDescent="0.2"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5:20" x14ac:dyDescent="0.2"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5:20" x14ac:dyDescent="0.2"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5:20" x14ac:dyDescent="0.2"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5:20" x14ac:dyDescent="0.2"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5:20" x14ac:dyDescent="0.2"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5:20" x14ac:dyDescent="0.2"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5:20" x14ac:dyDescent="0.2"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5:20" x14ac:dyDescent="0.2"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5:20" x14ac:dyDescent="0.2"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5:20" x14ac:dyDescent="0.2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5:20" x14ac:dyDescent="0.2"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5:20" x14ac:dyDescent="0.2"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5:20" x14ac:dyDescent="0.2"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5:20" x14ac:dyDescent="0.2"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5:20" x14ac:dyDescent="0.2"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5:20" x14ac:dyDescent="0.2"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5:20" x14ac:dyDescent="0.2"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5:20" x14ac:dyDescent="0.2"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5:20" x14ac:dyDescent="0.2"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5:20" x14ac:dyDescent="0.2"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5:20" x14ac:dyDescent="0.2"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5:20" x14ac:dyDescent="0.2"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5:20" x14ac:dyDescent="0.2"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5:20" x14ac:dyDescent="0.2"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5:20" x14ac:dyDescent="0.2"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5:20" x14ac:dyDescent="0.2"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5:20" x14ac:dyDescent="0.2"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5:20" x14ac:dyDescent="0.2"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5:20" x14ac:dyDescent="0.2"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5:20" x14ac:dyDescent="0.2"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5:20" x14ac:dyDescent="0.2"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5:20" x14ac:dyDescent="0.2"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5:20" x14ac:dyDescent="0.2"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5:20" x14ac:dyDescent="0.2"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5:20" x14ac:dyDescent="0.2"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5:20" x14ac:dyDescent="0.2"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5:20" x14ac:dyDescent="0.2"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5:20" x14ac:dyDescent="0.2"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5:20" x14ac:dyDescent="0.2"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5:20" x14ac:dyDescent="0.2"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5:20" x14ac:dyDescent="0.2"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5:20" x14ac:dyDescent="0.2"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5:20" x14ac:dyDescent="0.2"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5:20" x14ac:dyDescent="0.2"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5:20" x14ac:dyDescent="0.2"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5:20" x14ac:dyDescent="0.2"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5:20" x14ac:dyDescent="0.2"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5:20" x14ac:dyDescent="0.2"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5:20" x14ac:dyDescent="0.2"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5:20" x14ac:dyDescent="0.2"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5:20" x14ac:dyDescent="0.2"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5:20" x14ac:dyDescent="0.2"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5:20" x14ac:dyDescent="0.2"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5:20" x14ac:dyDescent="0.2"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5:20" x14ac:dyDescent="0.2"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5:20" x14ac:dyDescent="0.2"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5:20" x14ac:dyDescent="0.2"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5:20" x14ac:dyDescent="0.2"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5:20" x14ac:dyDescent="0.2"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5:20" x14ac:dyDescent="0.2"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5:20" x14ac:dyDescent="0.2"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5:20" x14ac:dyDescent="0.2"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5:20" x14ac:dyDescent="0.2"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5:20" x14ac:dyDescent="0.2"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5:20" x14ac:dyDescent="0.2"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5:20" x14ac:dyDescent="0.2"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5:20" x14ac:dyDescent="0.2"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5:20" x14ac:dyDescent="0.2"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5:20" x14ac:dyDescent="0.2"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5:20" x14ac:dyDescent="0.2"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5:20" x14ac:dyDescent="0.2"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5:20" x14ac:dyDescent="0.2"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5:20" x14ac:dyDescent="0.2"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5:20" x14ac:dyDescent="0.2"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5:20" x14ac:dyDescent="0.2"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5:20" x14ac:dyDescent="0.2"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5:20" x14ac:dyDescent="0.2"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5:20" x14ac:dyDescent="0.2"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5:20" x14ac:dyDescent="0.2"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5:20" x14ac:dyDescent="0.2"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5:20" x14ac:dyDescent="0.2"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5:20" x14ac:dyDescent="0.2"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5:20" x14ac:dyDescent="0.2"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5:20" x14ac:dyDescent="0.2"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5:20" x14ac:dyDescent="0.2"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5:20" x14ac:dyDescent="0.2"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5:20" x14ac:dyDescent="0.2"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5:20" x14ac:dyDescent="0.2"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5:20" x14ac:dyDescent="0.2"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5:20" x14ac:dyDescent="0.2"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5:20" x14ac:dyDescent="0.2"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5:20" x14ac:dyDescent="0.2"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5:20" x14ac:dyDescent="0.2"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5:20" x14ac:dyDescent="0.2"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5:20" x14ac:dyDescent="0.2"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5:20" x14ac:dyDescent="0.2"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5:20" x14ac:dyDescent="0.2"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5:20" x14ac:dyDescent="0.2"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5:20" x14ac:dyDescent="0.2"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5:20" x14ac:dyDescent="0.2"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5:20" x14ac:dyDescent="0.2"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5:20" x14ac:dyDescent="0.2"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5:20" x14ac:dyDescent="0.2"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5:20" x14ac:dyDescent="0.2"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5:20" x14ac:dyDescent="0.2"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5:20" x14ac:dyDescent="0.2"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5:20" x14ac:dyDescent="0.2"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5:20" x14ac:dyDescent="0.2"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5:20" x14ac:dyDescent="0.2"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5:20" x14ac:dyDescent="0.2"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5:20" x14ac:dyDescent="0.2"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5:20" x14ac:dyDescent="0.2"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5:20" x14ac:dyDescent="0.2"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5:20" x14ac:dyDescent="0.2"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5:20" x14ac:dyDescent="0.2"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5:20" x14ac:dyDescent="0.2"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5:20" x14ac:dyDescent="0.2"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5:20" x14ac:dyDescent="0.2"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5:20" x14ac:dyDescent="0.2"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5:20" x14ac:dyDescent="0.2"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5:20" x14ac:dyDescent="0.2"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5:20" x14ac:dyDescent="0.2"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5:20" x14ac:dyDescent="0.2"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5:20" x14ac:dyDescent="0.2"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5:20" x14ac:dyDescent="0.2"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5:20" x14ac:dyDescent="0.2"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5:20" x14ac:dyDescent="0.2"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5:20" x14ac:dyDescent="0.2"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5:20" x14ac:dyDescent="0.2"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5:20" x14ac:dyDescent="0.2"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5:20" x14ac:dyDescent="0.2"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5:20" x14ac:dyDescent="0.2"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</sheetData>
  <mergeCells count="6">
    <mergeCell ref="K93:S96"/>
    <mergeCell ref="H3:L3"/>
    <mergeCell ref="H4:L4"/>
    <mergeCell ref="V21:Y21"/>
    <mergeCell ref="K2:V2"/>
    <mergeCell ref="N4:R4"/>
  </mergeCells>
  <phoneticPr fontId="0" type="noConversion"/>
  <pageMargins left="0.75" right="0.75" top="0.61" bottom="1" header="0.5" footer="0.5"/>
  <pageSetup scale="51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AHC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TBHM528</dc:creator>
  <cp:keywords/>
  <dc:description/>
  <cp:lastModifiedBy>Daniel Steffens</cp:lastModifiedBy>
  <cp:revision/>
  <dcterms:created xsi:type="dcterms:W3CDTF">2000-09-21T14:52:48Z</dcterms:created>
  <dcterms:modified xsi:type="dcterms:W3CDTF">2026-06-29T13:35:13Z</dcterms:modified>
  <cp:category/>
  <cp:contentStatus/>
</cp:coreProperties>
</file>