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weet 16 Spreadsheets\"/>
    </mc:Choice>
  </mc:AlternateContent>
  <xr:revisionPtr revIDLastSave="0" documentId="13_ncr:1_{746E1039-EAA8-4347-8A9B-7A40BAE516FA}" xr6:coauthVersionLast="47" xr6:coauthVersionMax="47" xr10:uidLastSave="{00000000-0000-0000-0000-000000000000}"/>
  <bookViews>
    <workbookView xWindow="28680" yWindow="-1920" windowWidth="242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1" i="1" l="1"/>
  <c r="S51" i="1"/>
  <c r="S25" i="1"/>
  <c r="P25" i="1"/>
  <c r="S19" i="1"/>
  <c r="P19" i="1"/>
  <c r="S18" i="1"/>
  <c r="P18" i="1"/>
  <c r="S20" i="1"/>
  <c r="P20" i="1"/>
  <c r="O51" i="1"/>
  <c r="P24" i="1"/>
  <c r="N51" i="1"/>
  <c r="M51" i="1"/>
  <c r="AA87" i="1"/>
  <c r="AA90" i="1" s="1"/>
  <c r="W87" i="1"/>
  <c r="W90" i="1" s="1"/>
  <c r="AA78" i="1"/>
  <c r="AA81" i="1" s="1"/>
  <c r="W78" i="1"/>
  <c r="U82" i="1" s="1"/>
  <c r="W82" i="1" s="1"/>
  <c r="AA69" i="1"/>
  <c r="Y73" i="1" s="1"/>
  <c r="AA73" i="1" s="1"/>
  <c r="W69" i="1"/>
  <c r="U73" i="1" s="1"/>
  <c r="Y91" i="1"/>
  <c r="AA91" i="1" s="1"/>
  <c r="S24" i="1"/>
  <c r="D70" i="1"/>
  <c r="D68" i="1"/>
  <c r="J51" i="1"/>
  <c r="W80" i="1" l="1"/>
  <c r="AA80" i="1"/>
  <c r="AA71" i="1"/>
  <c r="Y82" i="1"/>
  <c r="AA82" i="1" s="1"/>
  <c r="W81" i="1"/>
  <c r="W83" i="1" s="1"/>
  <c r="O61" i="1" s="1"/>
  <c r="W73" i="1"/>
  <c r="U74" i="1"/>
  <c r="W72" i="1"/>
  <c r="Y74" i="1"/>
  <c r="AA72" i="1"/>
  <c r="W71" i="1"/>
  <c r="W89" i="1"/>
  <c r="U91" i="1"/>
  <c r="AA89" i="1"/>
  <c r="AA92" i="1" s="1"/>
  <c r="P60" i="1" s="1"/>
  <c r="U83" i="1"/>
  <c r="Y92" i="1"/>
  <c r="J64" i="1"/>
  <c r="K28" i="1" s="1"/>
  <c r="I64" i="1"/>
  <c r="H64" i="1"/>
  <c r="G64" i="1"/>
  <c r="K62" i="1"/>
  <c r="K61" i="1"/>
  <c r="K60" i="1"/>
  <c r="J58" i="1"/>
  <c r="I58" i="1"/>
  <c r="H58" i="1"/>
  <c r="G58" i="1"/>
  <c r="K57" i="1"/>
  <c r="K56" i="1"/>
  <c r="K55" i="1"/>
  <c r="K36" i="1"/>
  <c r="K35" i="1"/>
  <c r="I32" i="1"/>
  <c r="I39" i="1" s="1"/>
  <c r="I45" i="1" s="1"/>
  <c r="I30" i="1"/>
  <c r="H30" i="1"/>
  <c r="G30" i="1"/>
  <c r="K27" i="1"/>
  <c r="K26" i="1"/>
  <c r="K25" i="1"/>
  <c r="K24" i="1"/>
  <c r="K23" i="1"/>
  <c r="K22" i="1"/>
  <c r="K21" i="1"/>
  <c r="K20" i="1"/>
  <c r="K19" i="1"/>
  <c r="I15" i="1"/>
  <c r="H15" i="1"/>
  <c r="H32" i="1" s="1"/>
  <c r="H39" i="1" s="1"/>
  <c r="H45" i="1" s="1"/>
  <c r="G15" i="1"/>
  <c r="G32" i="1" s="1"/>
  <c r="G39" i="1" s="1"/>
  <c r="G45" i="1" s="1"/>
  <c r="K14" i="1"/>
  <c r="K13" i="1"/>
  <c r="K12" i="1"/>
  <c r="K11" i="1"/>
  <c r="K10" i="1"/>
  <c r="K9" i="1"/>
  <c r="K8" i="1"/>
  <c r="E64" i="1"/>
  <c r="AA83" i="1" l="1"/>
  <c r="Y83" i="1"/>
  <c r="AA74" i="1"/>
  <c r="W91" i="1"/>
  <c r="W92" i="1" s="1"/>
  <c r="P61" i="1" s="1"/>
  <c r="U92" i="1"/>
  <c r="W74" i="1"/>
  <c r="K58" i="1"/>
  <c r="K59" i="1" s="1"/>
  <c r="J15" i="1"/>
  <c r="K15" i="1"/>
  <c r="K64" i="1"/>
  <c r="J30" i="1"/>
  <c r="G48" i="1"/>
  <c r="G51" i="1"/>
  <c r="I51" i="1"/>
  <c r="I52" i="1" s="1"/>
  <c r="I48" i="1"/>
  <c r="H51" i="1"/>
  <c r="H52" i="1" s="1"/>
  <c r="H48" i="1"/>
  <c r="K18" i="1"/>
  <c r="K30" i="1" s="1"/>
  <c r="M64" i="1"/>
  <c r="E58" i="1"/>
  <c r="E52" i="1"/>
  <c r="E30" i="1"/>
  <c r="E15" i="1"/>
  <c r="K32" i="1" l="1"/>
  <c r="K39" i="1" s="1"/>
  <c r="J32" i="1"/>
  <c r="J39" i="1" s="1"/>
  <c r="K43" i="1" s="1"/>
  <c r="G52" i="1"/>
  <c r="E32" i="1"/>
  <c r="E39" i="1" s="1"/>
  <c r="E45" i="1" s="1"/>
  <c r="E48" i="1" s="1"/>
  <c r="K42" i="1" l="1"/>
  <c r="K45" i="1" s="1"/>
  <c r="K48" i="1" s="1"/>
  <c r="Q49" i="1"/>
  <c r="J45" i="1" l="1"/>
  <c r="S9" i="1"/>
  <c r="P9" i="1"/>
  <c r="S8" i="1"/>
  <c r="P8" i="1"/>
  <c r="S64" i="1"/>
  <c r="S28" i="1" s="1"/>
  <c r="J48" i="1" l="1"/>
  <c r="P58" i="1"/>
  <c r="P64" i="1"/>
  <c r="P28" i="1" s="1"/>
  <c r="S58" i="1"/>
  <c r="O64" i="1"/>
  <c r="N64" i="1"/>
  <c r="N58" i="1"/>
  <c r="M15" i="1"/>
  <c r="M58" i="1"/>
  <c r="O58" i="1"/>
  <c r="Q55" i="1"/>
  <c r="Q11" i="1"/>
  <c r="Q62" i="1"/>
  <c r="Q61" i="1"/>
  <c r="Q60" i="1"/>
  <c r="Q57" i="1"/>
  <c r="Q56" i="1"/>
  <c r="Q36" i="1"/>
  <c r="Q35" i="1"/>
  <c r="Q27" i="1"/>
  <c r="Q26" i="1"/>
  <c r="Q24" i="1"/>
  <c r="Q23" i="1"/>
  <c r="Q22" i="1"/>
  <c r="Q21" i="1"/>
  <c r="Q14" i="1"/>
  <c r="Q13" i="1"/>
  <c r="Q12" i="1"/>
  <c r="Q10" i="1"/>
  <c r="J52" i="1" l="1"/>
  <c r="K52" i="1" s="1"/>
  <c r="K51" i="1"/>
  <c r="S15" i="1"/>
  <c r="Q9" i="1"/>
  <c r="O15" i="1"/>
  <c r="P15" i="1"/>
  <c r="Q64" i="1"/>
  <c r="Q58" i="1"/>
  <c r="S59" i="1" s="1"/>
  <c r="N15" i="1"/>
  <c r="Q28" i="1"/>
  <c r="Q8" i="1"/>
  <c r="Q20" i="1" l="1"/>
  <c r="N30" i="1"/>
  <c r="N32" i="1" s="1"/>
  <c r="N39" i="1" s="1"/>
  <c r="S30" i="1"/>
  <c r="S32" i="1" s="1"/>
  <c r="S39" i="1" s="1"/>
  <c r="Q18" i="1"/>
  <c r="Q19" i="1"/>
  <c r="Q25" i="1"/>
  <c r="M30" i="1"/>
  <c r="M32" i="1" s="1"/>
  <c r="M39" i="1" s="1"/>
  <c r="Q59" i="1"/>
  <c r="P30" i="1"/>
  <c r="P32" i="1" s="1"/>
  <c r="P39" i="1" s="1"/>
  <c r="Q15" i="1"/>
  <c r="O30" i="1"/>
  <c r="O32" i="1" s="1"/>
  <c r="O39" i="1" s="1"/>
  <c r="S43" i="1" l="1"/>
  <c r="S42" i="1"/>
  <c r="P43" i="1"/>
  <c r="P42" i="1"/>
  <c r="Q30" i="1"/>
  <c r="Q32" i="1" s="1"/>
  <c r="Q39" i="1" s="1"/>
  <c r="M45" i="1" l="1"/>
  <c r="O45" i="1"/>
  <c r="S45" i="1"/>
  <c r="P45" i="1"/>
  <c r="Q43" i="1"/>
  <c r="Q42" i="1"/>
  <c r="N45" i="1"/>
  <c r="M52" i="1" l="1"/>
  <c r="M48" i="1"/>
  <c r="O48" i="1"/>
  <c r="O52" i="1"/>
  <c r="S52" i="1"/>
  <c r="S48" i="1"/>
  <c r="N48" i="1"/>
  <c r="P48" i="1"/>
  <c r="P52" i="1"/>
  <c r="Q45" i="1"/>
  <c r="Q48" i="1" s="1"/>
  <c r="Q51" i="1" l="1"/>
  <c r="N52" i="1"/>
  <c r="Q52" i="1" s="1"/>
  <c r="X53" i="1" s="1"/>
</calcChain>
</file>

<file path=xl/sharedStrings.xml><?xml version="1.0" encoding="utf-8"?>
<sst xmlns="http://schemas.openxmlformats.org/spreadsheetml/2006/main" count="138" uniqueCount="104">
  <si>
    <t>REVENUES:</t>
  </si>
  <si>
    <t>EXPENSES:</t>
  </si>
  <si>
    <t xml:space="preserve">   TOTAL EXPENSES</t>
  </si>
  <si>
    <t xml:space="preserve">   OPERATING EARNING</t>
  </si>
  <si>
    <t>INCOME TAXES</t>
  </si>
  <si>
    <t xml:space="preserve">   Current</t>
  </si>
  <si>
    <t xml:space="preserve">   Deferred</t>
  </si>
  <si>
    <t>NET INCOME</t>
  </si>
  <si>
    <t>PRODUCTION</t>
  </si>
  <si>
    <t xml:space="preserve">  Natural Gas (mcfp/d)</t>
  </si>
  <si>
    <t xml:space="preserve">  Natural Gas ($/mcf)</t>
  </si>
  <si>
    <t>Gross Revenue check (prod * ave price)</t>
  </si>
  <si>
    <t>Forecast</t>
  </si>
  <si>
    <t>Earnings per share</t>
  </si>
  <si>
    <t>Actual</t>
  </si>
  <si>
    <t>Qtr1</t>
  </si>
  <si>
    <t>Qtr2</t>
  </si>
  <si>
    <t>Qtr3</t>
  </si>
  <si>
    <t>Qtr4</t>
  </si>
  <si>
    <t>Cashflow per share (before CapEx)</t>
  </si>
  <si>
    <t xml:space="preserve">  NGLs (bbls/d)</t>
  </si>
  <si>
    <t xml:space="preserve">  Oil (bbls/d)</t>
  </si>
  <si>
    <t xml:space="preserve">  Oil ($/bbl)</t>
  </si>
  <si>
    <t xml:space="preserve">  NGLs ($/bbl)</t>
  </si>
  <si>
    <t xml:space="preserve">    Total revenues</t>
  </si>
  <si>
    <t xml:space="preserve">  Other revenue</t>
  </si>
  <si>
    <t>OTHER INCOME (EXPENSES)</t>
  </si>
  <si>
    <t>INCOME BERORE INCOME TAXES</t>
  </si>
  <si>
    <t xml:space="preserve">  DD&amp;A</t>
  </si>
  <si>
    <t xml:space="preserve">  G&amp;A</t>
  </si>
  <si>
    <t xml:space="preserve">  Interest expense</t>
  </si>
  <si>
    <t>PRODUCT PRICES (Net of hedges)</t>
  </si>
  <si>
    <t>EOG Resources (EOG)</t>
  </si>
  <si>
    <t xml:space="preserve">  Natural gas</t>
  </si>
  <si>
    <t xml:space="preserve">  Gathering, processing and marketing</t>
  </si>
  <si>
    <t xml:space="preserve">  Gains on property dispositions, net</t>
  </si>
  <si>
    <t xml:space="preserve">  Lease and well</t>
  </si>
  <si>
    <t xml:space="preserve">  Transporations costs</t>
  </si>
  <si>
    <t xml:space="preserve">  Gathering and processing</t>
  </si>
  <si>
    <t xml:space="preserve">  Exploration costs (Successful Efforts)</t>
  </si>
  <si>
    <t xml:space="preserve">  Dry Hole Costs</t>
  </si>
  <si>
    <t xml:space="preserve">  Marketing Costs</t>
  </si>
  <si>
    <t xml:space="preserve">  Taxes other than income</t>
  </si>
  <si>
    <t xml:space="preserve">  Stock based compensaton (non-cash)</t>
  </si>
  <si>
    <t xml:space="preserve">  Crude oil, condensate &amp; NGLs</t>
  </si>
  <si>
    <t xml:space="preserve">  Impairment (FAS 21)</t>
  </si>
  <si>
    <t>&lt; CFPS</t>
  </si>
  <si>
    <t xml:space="preserve">  Gains on derivative contracts - cash</t>
  </si>
  <si>
    <t xml:space="preserve">  Gains on derivative contracts - non-cash</t>
  </si>
  <si>
    <t>boe/day</t>
  </si>
  <si>
    <t xml:space="preserve">   of hedges. Hedging gains and losses are broken</t>
  </si>
  <si>
    <t>&lt; Oil and gas forecast revenues include the effect</t>
  </si>
  <si>
    <t xml:space="preserve">   out when actuals are reported.</t>
  </si>
  <si>
    <t>&lt; See row 12 above</t>
  </si>
  <si>
    <t>Common Stock outstanding (thousand)</t>
  </si>
  <si>
    <t>&lt; Non-cash charge</t>
  </si>
  <si>
    <t xml:space="preserve">  Other income (expense)</t>
  </si>
  <si>
    <t>PV10 value at 12/31/2020 = $11,390 million</t>
  </si>
  <si>
    <t>TipRanks Price Target</t>
  </si>
  <si>
    <t xml:space="preserve">   impact of the hedges shown below.</t>
  </si>
  <si>
    <t>Proved Reserves at 12-31-2021</t>
  </si>
  <si>
    <t xml:space="preserve"> Crude Oil</t>
  </si>
  <si>
    <t xml:space="preserve"> NGLs</t>
  </si>
  <si>
    <t xml:space="preserve">  </t>
  </si>
  <si>
    <t xml:space="preserve"> Natural gas</t>
  </si>
  <si>
    <t xml:space="preserve">   MMBoe</t>
  </si>
  <si>
    <t>PV10 value at 12/31/20201 = $46,186 million</t>
  </si>
  <si>
    <t>Compare to CFPS Forecast on row 52</t>
  </si>
  <si>
    <t>&lt; TipRank's EPS estimate</t>
  </si>
  <si>
    <t xml:space="preserve">  TipRank's Revenue Forecasts</t>
  </si>
  <si>
    <t>Impact of hedges on realized oil and gas prices</t>
  </si>
  <si>
    <t>Q2 2022</t>
  </si>
  <si>
    <t>Realized oil price</t>
  </si>
  <si>
    <t>Realized gas price</t>
  </si>
  <si>
    <t>Oil Production per day</t>
  </si>
  <si>
    <t>Gas Production per day</t>
  </si>
  <si>
    <t>Hedged Vol</t>
  </si>
  <si>
    <t>$/Bbl</t>
  </si>
  <si>
    <t>$/Mmbtu</t>
  </si>
  <si>
    <t>Q3 2022</t>
  </si>
  <si>
    <t>Q4 2022</t>
  </si>
  <si>
    <t xml:space="preserve">  to terminate 2022 and 2023 hedges</t>
  </si>
  <si>
    <t>&lt; Q2 realized oil and ngas include big cash settlements</t>
  </si>
  <si>
    <t xml:space="preserve">&lt; Forecast oil &amp; ngas prices include the estimated </t>
  </si>
  <si>
    <t>&lt; 2022 is shares o/s on 9-30-2022</t>
  </si>
  <si>
    <t>&lt; 2022 guidance is 903.3 to 915.1 Mboepd</t>
  </si>
  <si>
    <t>&lt; $1.95/boe</t>
  </si>
  <si>
    <t>&lt; $4.10/boe (includes expensed WORKOVERS)</t>
  </si>
  <si>
    <t>&lt; $3.10/boe</t>
  </si>
  <si>
    <t>&lt; 15%</t>
  </si>
  <si>
    <t>&lt; 08%</t>
  </si>
  <si>
    <t>&lt; 6.5% of revenues</t>
  </si>
  <si>
    <t>&lt; $10.75/boe</t>
  </si>
  <si>
    <t xml:space="preserve">   Fair Value = 7.5 X 2022+2023 CFPS =  </t>
  </si>
  <si>
    <t>Hedges for 2022 and 2023 as of Nov 4, 2022</t>
  </si>
  <si>
    <t>&lt; 2022 CapEx guidance is $4.5 to $4.7 billion as of 11/2/22</t>
  </si>
  <si>
    <t>Net Income and Cash Flow 2020 - 2023 (last updated 12/18/2022)</t>
  </si>
  <si>
    <t xml:space="preserve">    $26.6 Billion for 2022</t>
  </si>
  <si>
    <t xml:space="preserve">    $27.9 Billion for 2023</t>
  </si>
  <si>
    <t xml:space="preserve">    $28.3 Billion for 2024</t>
  </si>
  <si>
    <t>Truist Fin  12/15/2022</t>
  </si>
  <si>
    <t>TD Securities 12/15/2022</t>
  </si>
  <si>
    <t>JP Morgan  12/5/25022</t>
  </si>
  <si>
    <t>Johnson Rice 12/5/2022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</si>
</sst>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38" fontId="0" fillId="0" borderId="0" xfId="0" applyNumberFormat="1"/>
    <xf numFmtId="0" fontId="0" fillId="2" borderId="0" xfId="0" applyFill="1"/>
    <xf numFmtId="0" fontId="3" fillId="0" borderId="0" xfId="0" applyFont="1"/>
    <xf numFmtId="0" fontId="5" fillId="0" borderId="0" xfId="0" applyFont="1"/>
    <xf numFmtId="0" fontId="0" fillId="0" borderId="1" xfId="0" applyBorder="1"/>
    <xf numFmtId="38" fontId="0" fillId="0" borderId="1" xfId="0" applyNumberFormat="1" applyBorder="1"/>
    <xf numFmtId="38" fontId="0" fillId="0" borderId="2" xfId="0" applyNumberFormat="1" applyBorder="1"/>
    <xf numFmtId="38" fontId="6" fillId="0" borderId="1" xfId="0" applyNumberFormat="1" applyFont="1" applyBorder="1"/>
    <xf numFmtId="40" fontId="0" fillId="0" borderId="1" xfId="0" applyNumberFormat="1" applyBorder="1"/>
    <xf numFmtId="8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6" fontId="6" fillId="0" borderId="2" xfId="0" applyNumberFormat="1" applyFont="1" applyBorder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/>
    <xf numFmtId="38" fontId="0" fillId="3" borderId="5" xfId="0" applyNumberFormat="1" applyFill="1" applyBorder="1"/>
    <xf numFmtId="38" fontId="6" fillId="3" borderId="0" xfId="0" applyNumberFormat="1" applyFont="1" applyFill="1"/>
    <xf numFmtId="38" fontId="6" fillId="3" borderId="5" xfId="0" applyNumberFormat="1" applyFont="1" applyFill="1" applyBorder="1"/>
    <xf numFmtId="164" fontId="6" fillId="3" borderId="6" xfId="0" applyNumberFormat="1" applyFont="1" applyFill="1" applyBorder="1"/>
    <xf numFmtId="164" fontId="6" fillId="3" borderId="0" xfId="0" applyNumberFormat="1" applyFont="1" applyFill="1"/>
    <xf numFmtId="40" fontId="6" fillId="3" borderId="0" xfId="0" applyNumberFormat="1" applyFont="1" applyFill="1"/>
    <xf numFmtId="6" fontId="0" fillId="0" borderId="2" xfId="0" applyNumberFormat="1" applyBorder="1"/>
    <xf numFmtId="0" fontId="0" fillId="3" borderId="0" xfId="0" applyFill="1"/>
    <xf numFmtId="38" fontId="0" fillId="3" borderId="0" xfId="0" applyNumberFormat="1" applyFill="1"/>
    <xf numFmtId="8" fontId="0" fillId="3" borderId="0" xfId="0" applyNumberFormat="1" applyFill="1"/>
    <xf numFmtId="40" fontId="0" fillId="3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40" fontId="0" fillId="0" borderId="0" xfId="0" applyNumberFormat="1"/>
    <xf numFmtId="38" fontId="3" fillId="0" borderId="0" xfId="0" applyNumberFormat="1" applyFont="1"/>
    <xf numFmtId="0" fontId="6" fillId="0" borderId="0" xfId="0" applyFont="1"/>
    <xf numFmtId="0" fontId="0" fillId="2" borderId="3" xfId="0" applyFill="1" applyBorder="1"/>
    <xf numFmtId="164" fontId="0" fillId="0" borderId="1" xfId="0" applyNumberFormat="1" applyBorder="1"/>
    <xf numFmtId="166" fontId="0" fillId="0" borderId="1" xfId="1" applyNumberFormat="1" applyFont="1" applyBorder="1"/>
    <xf numFmtId="166" fontId="6" fillId="3" borderId="0" xfId="1" applyNumberFormat="1" applyFont="1" applyFill="1"/>
    <xf numFmtId="166" fontId="0" fillId="3" borderId="0" xfId="1" applyNumberFormat="1" applyFont="1" applyFill="1"/>
    <xf numFmtId="166" fontId="2" fillId="0" borderId="7" xfId="1" applyNumberFormat="1" applyFont="1" applyBorder="1" applyAlignment="1">
      <alignment horizontal="center"/>
    </xf>
    <xf numFmtId="166" fontId="3" fillId="3" borderId="8" xfId="1" applyNumberFormat="1" applyFont="1" applyFill="1" applyBorder="1" applyAlignment="1">
      <alignment horizontal="center"/>
    </xf>
    <xf numFmtId="166" fontId="2" fillId="3" borderId="8" xfId="1" applyNumberFormat="1" applyFont="1" applyFill="1" applyBorder="1" applyAlignment="1">
      <alignment horizontal="center"/>
    </xf>
    <xf numFmtId="165" fontId="0" fillId="0" borderId="1" xfId="2" applyNumberFormat="1" applyFont="1" applyBorder="1"/>
    <xf numFmtId="165" fontId="6" fillId="3" borderId="0" xfId="2" applyNumberFormat="1" applyFont="1" applyFill="1"/>
    <xf numFmtId="165" fontId="0" fillId="3" borderId="0" xfId="2" applyNumberFormat="1" applyFont="1" applyFill="1"/>
    <xf numFmtId="38" fontId="6" fillId="0" borderId="1" xfId="1" applyNumberFormat="1" applyFont="1" applyBorder="1"/>
    <xf numFmtId="38" fontId="0" fillId="0" borderId="1" xfId="1" applyNumberFormat="1" applyFont="1" applyBorder="1"/>
    <xf numFmtId="38" fontId="6" fillId="3" borderId="0" xfId="1" applyNumberFormat="1" applyFont="1" applyFill="1"/>
    <xf numFmtId="38" fontId="0" fillId="3" borderId="0" xfId="1" applyNumberFormat="1" applyFont="1" applyFill="1"/>
    <xf numFmtId="38" fontId="0" fillId="0" borderId="2" xfId="1" applyNumberFormat="1" applyFont="1" applyBorder="1"/>
    <xf numFmtId="38" fontId="0" fillId="3" borderId="5" xfId="1" applyNumberFormat="1" applyFont="1" applyFill="1" applyBorder="1"/>
    <xf numFmtId="38" fontId="6" fillId="0" borderId="2" xfId="1" applyNumberFormat="1" applyFont="1" applyBorder="1"/>
    <xf numFmtId="38" fontId="6" fillId="3" borderId="5" xfId="1" applyNumberFormat="1" applyFont="1" applyFill="1" applyBorder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6" fontId="6" fillId="0" borderId="1" xfId="2" applyNumberFormat="1" applyFont="1" applyBorder="1"/>
    <xf numFmtId="6" fontId="6" fillId="3" borderId="0" xfId="2" applyNumberFormat="1" applyFont="1" applyFill="1"/>
    <xf numFmtId="0" fontId="2" fillId="4" borderId="3" xfId="0" applyFont="1" applyFill="1" applyBorder="1" applyAlignment="1">
      <alignment horizontal="center"/>
    </xf>
    <xf numFmtId="0" fontId="2" fillId="5" borderId="0" xfId="0" applyFont="1" applyFill="1"/>
    <xf numFmtId="0" fontId="3" fillId="5" borderId="0" xfId="0" applyFont="1" applyFill="1"/>
    <xf numFmtId="6" fontId="0" fillId="3" borderId="0" xfId="0" applyNumberFormat="1" applyFill="1"/>
    <xf numFmtId="0" fontId="0" fillId="5" borderId="3" xfId="0" applyFill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0" fontId="7" fillId="5" borderId="1" xfId="3" applyNumberFormat="1" applyFont="1" applyFill="1" applyBorder="1"/>
    <xf numFmtId="44" fontId="0" fillId="0" borderId="0" xfId="2" applyFont="1"/>
    <xf numFmtId="167" fontId="3" fillId="0" borderId="0" xfId="0" applyNumberFormat="1" applyFont="1"/>
    <xf numFmtId="0" fontId="2" fillId="6" borderId="0" xfId="0" applyFont="1" applyFill="1"/>
    <xf numFmtId="0" fontId="3" fillId="6" borderId="0" xfId="0" applyFont="1" applyFill="1"/>
    <xf numFmtId="164" fontId="3" fillId="6" borderId="0" xfId="0" applyNumberFormat="1" applyFont="1" applyFill="1"/>
    <xf numFmtId="6" fontId="0" fillId="0" borderId="1" xfId="0" applyNumberFormat="1" applyBorder="1"/>
    <xf numFmtId="0" fontId="0" fillId="7" borderId="0" xfId="0" applyFill="1"/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65" fontId="10" fillId="7" borderId="0" xfId="2" applyNumberFormat="1" applyFont="1" applyFill="1"/>
    <xf numFmtId="38" fontId="10" fillId="7" borderId="0" xfId="1" applyNumberFormat="1" applyFont="1" applyFill="1"/>
    <xf numFmtId="38" fontId="10" fillId="7" borderId="5" xfId="1" applyNumberFormat="1" applyFont="1" applyFill="1" applyBorder="1"/>
    <xf numFmtId="38" fontId="6" fillId="7" borderId="0" xfId="1" applyNumberFormat="1" applyFont="1" applyFill="1"/>
    <xf numFmtId="6" fontId="6" fillId="7" borderId="0" xfId="2" applyNumberFormat="1" applyFont="1" applyFill="1"/>
    <xf numFmtId="166" fontId="10" fillId="7" borderId="0" xfId="1" applyNumberFormat="1" applyFont="1" applyFill="1"/>
    <xf numFmtId="166" fontId="2" fillId="7" borderId="8" xfId="1" applyNumberFormat="1" applyFont="1" applyFill="1" applyBorder="1" applyAlignment="1">
      <alignment horizontal="center"/>
    </xf>
    <xf numFmtId="164" fontId="6" fillId="7" borderId="6" xfId="0" applyNumberFormat="1" applyFont="1" applyFill="1" applyBorder="1"/>
    <xf numFmtId="8" fontId="0" fillId="7" borderId="0" xfId="0" applyNumberFormat="1" applyFill="1"/>
    <xf numFmtId="6" fontId="0" fillId="7" borderId="0" xfId="0" applyNumberFormat="1" applyFill="1"/>
    <xf numFmtId="164" fontId="6" fillId="7" borderId="0" xfId="0" applyNumberFormat="1" applyFont="1" applyFill="1"/>
    <xf numFmtId="38" fontId="0" fillId="7" borderId="0" xfId="0" applyNumberFormat="1" applyFill="1"/>
    <xf numFmtId="38" fontId="0" fillId="7" borderId="5" xfId="0" applyNumberFormat="1" applyFill="1" applyBorder="1"/>
    <xf numFmtId="38" fontId="6" fillId="7" borderId="0" xfId="0" applyNumberFormat="1" applyFont="1" applyFill="1"/>
    <xf numFmtId="10" fontId="7" fillId="7" borderId="0" xfId="3" applyNumberFormat="1" applyFont="1" applyFill="1"/>
    <xf numFmtId="40" fontId="0" fillId="7" borderId="0" xfId="0" applyNumberFormat="1" applyFill="1"/>
    <xf numFmtId="38" fontId="2" fillId="0" borderId="0" xfId="0" applyNumberFormat="1" applyFont="1"/>
    <xf numFmtId="166" fontId="0" fillId="0" borderId="0" xfId="1" applyNumberFormat="1" applyFont="1"/>
    <xf numFmtId="38" fontId="6" fillId="0" borderId="0" xfId="0" applyNumberFormat="1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8" fontId="9" fillId="0" borderId="0" xfId="2" applyNumberFormat="1" applyFont="1"/>
    <xf numFmtId="44" fontId="9" fillId="0" borderId="0" xfId="2" applyFont="1"/>
    <xf numFmtId="0" fontId="1" fillId="0" borderId="0" xfId="0" applyFont="1"/>
    <xf numFmtId="2" fontId="1" fillId="0" borderId="0" xfId="0" applyNumberFormat="1" applyFont="1"/>
    <xf numFmtId="38" fontId="1" fillId="0" borderId="0" xfId="0" applyNumberFormat="1" applyFont="1"/>
    <xf numFmtId="3" fontId="0" fillId="0" borderId="0" xfId="0" applyNumberFormat="1"/>
    <xf numFmtId="4" fontId="1" fillId="0" borderId="0" xfId="0" applyNumberFormat="1" applyFont="1"/>
    <xf numFmtId="10" fontId="1" fillId="0" borderId="0" xfId="0" applyNumberFormat="1" applyFont="1"/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0" fillId="5" borderId="1" xfId="0" applyNumberFormat="1" applyFill="1" applyBorder="1"/>
    <xf numFmtId="8" fontId="6" fillId="2" borderId="4" xfId="0" applyNumberFormat="1" applyFont="1" applyFill="1" applyBorder="1"/>
    <xf numFmtId="8" fontId="6" fillId="3" borderId="6" xfId="0" applyNumberFormat="1" applyFont="1" applyFill="1" applyBorder="1"/>
    <xf numFmtId="8" fontId="0" fillId="5" borderId="1" xfId="0" applyNumberFormat="1" applyFill="1" applyBorder="1"/>
    <xf numFmtId="8" fontId="0" fillId="5" borderId="1" xfId="0" applyNumberFormat="1" applyFill="1" applyBorder="1" applyAlignment="1">
      <alignment horizontal="right"/>
    </xf>
    <xf numFmtId="9" fontId="1" fillId="0" borderId="0" xfId="0" applyNumberFormat="1" applyFont="1"/>
    <xf numFmtId="0" fontId="1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0" fontId="0" fillId="5" borderId="0" xfId="0" applyFill="1"/>
    <xf numFmtId="38" fontId="0" fillId="0" borderId="10" xfId="1" applyNumberFormat="1" applyFont="1" applyBorder="1"/>
    <xf numFmtId="38" fontId="0" fillId="0" borderId="9" xfId="1" applyNumberFormat="1" applyFont="1" applyBorder="1"/>
    <xf numFmtId="0" fontId="1" fillId="5" borderId="1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1" fillId="5" borderId="14" xfId="0" applyFont="1" applyFill="1" applyBorder="1"/>
    <xf numFmtId="0" fontId="0" fillId="5" borderId="15" xfId="0" applyFill="1" applyBorder="1"/>
    <xf numFmtId="0" fontId="1" fillId="5" borderId="16" xfId="0" applyFont="1" applyFill="1" applyBorder="1"/>
    <xf numFmtId="0" fontId="0" fillId="5" borderId="6" xfId="0" applyFill="1" applyBorder="1"/>
    <xf numFmtId="0" fontId="0" fillId="5" borderId="17" xfId="0" applyFill="1" applyBorder="1"/>
    <xf numFmtId="0" fontId="2" fillId="4" borderId="1" xfId="0" applyFont="1" applyFill="1" applyBorder="1" applyAlignment="1">
      <alignment horizontal="center"/>
    </xf>
    <xf numFmtId="0" fontId="11" fillId="0" borderId="0" xfId="0" applyFont="1"/>
    <xf numFmtId="4" fontId="11" fillId="0" borderId="0" xfId="0" applyNumberFormat="1" applyFont="1"/>
    <xf numFmtId="40" fontId="1" fillId="0" borderId="1" xfId="0" applyNumberFormat="1" applyFont="1" applyBorder="1"/>
    <xf numFmtId="0" fontId="12" fillId="4" borderId="0" xfId="0" applyFont="1" applyFill="1"/>
    <xf numFmtId="0" fontId="13" fillId="5" borderId="0" xfId="0" applyFont="1" applyFill="1"/>
    <xf numFmtId="0" fontId="11" fillId="5" borderId="0" xfId="0" applyFont="1" applyFill="1"/>
    <xf numFmtId="38" fontId="0" fillId="4" borderId="0" xfId="0" applyNumberFormat="1" applyFill="1"/>
    <xf numFmtId="0" fontId="0" fillId="4" borderId="3" xfId="0" applyFill="1" applyBorder="1"/>
    <xf numFmtId="0" fontId="14" fillId="0" borderId="0" xfId="0" applyFont="1"/>
    <xf numFmtId="0" fontId="13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2" fillId="0" borderId="0" xfId="0" applyNumberFormat="1" applyFont="1"/>
    <xf numFmtId="166" fontId="2" fillId="0" borderId="0" xfId="1" applyNumberFormat="1" applyFont="1"/>
    <xf numFmtId="166" fontId="2" fillId="0" borderId="5" xfId="1" applyNumberFormat="1" applyFont="1" applyBorder="1"/>
    <xf numFmtId="166" fontId="2" fillId="0" borderId="18" xfId="1" applyNumberFormat="1" applyFont="1" applyBorder="1"/>
    <xf numFmtId="166" fontId="2" fillId="0" borderId="19" xfId="1" applyNumberFormat="1" applyFont="1" applyBorder="1"/>
    <xf numFmtId="0" fontId="1" fillId="5" borderId="0" xfId="0" applyFont="1" applyFill="1"/>
    <xf numFmtId="0" fontId="6" fillId="5" borderId="0" xfId="0" applyFont="1" applyFill="1"/>
    <xf numFmtId="44" fontId="6" fillId="5" borderId="0" xfId="2" applyFont="1" applyFill="1"/>
    <xf numFmtId="0" fontId="15" fillId="0" borderId="0" xfId="0" applyFont="1"/>
    <xf numFmtId="0" fontId="0" fillId="0" borderId="11" xfId="0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/>
    <xf numFmtId="166" fontId="0" fillId="0" borderId="0" xfId="1" applyNumberFormat="1" applyFont="1" applyBorder="1"/>
    <xf numFmtId="166" fontId="0" fillId="0" borderId="15" xfId="1" applyNumberFormat="1" applyFont="1" applyBorder="1"/>
    <xf numFmtId="0" fontId="1" fillId="0" borderId="0" xfId="0" applyFont="1" applyAlignment="1">
      <alignment horizontal="right"/>
    </xf>
    <xf numFmtId="0" fontId="0" fillId="0" borderId="15" xfId="0" applyBorder="1"/>
    <xf numFmtId="166" fontId="1" fillId="0" borderId="14" xfId="1" applyNumberFormat="1" applyFont="1" applyBorder="1"/>
    <xf numFmtId="44" fontId="1" fillId="0" borderId="0" xfId="2" applyFont="1" applyBorder="1"/>
    <xf numFmtId="44" fontId="0" fillId="0" borderId="0" xfId="2" applyFont="1" applyBorder="1"/>
    <xf numFmtId="166" fontId="1" fillId="0" borderId="0" xfId="1" applyNumberFormat="1" applyFont="1" applyBorder="1"/>
    <xf numFmtId="44" fontId="0" fillId="0" borderId="15" xfId="2" applyFont="1" applyBorder="1"/>
    <xf numFmtId="166" fontId="0" fillId="0" borderId="14" xfId="1" applyNumberFormat="1" applyFont="1" applyBorder="1"/>
    <xf numFmtId="166" fontId="0" fillId="0" borderId="20" xfId="0" applyNumberFormat="1" applyBorder="1"/>
    <xf numFmtId="44" fontId="0" fillId="0" borderId="5" xfId="2" applyFont="1" applyBorder="1"/>
    <xf numFmtId="166" fontId="0" fillId="0" borderId="5" xfId="0" applyNumberFormat="1" applyBorder="1"/>
    <xf numFmtId="44" fontId="0" fillId="0" borderId="21" xfId="2" applyFont="1" applyBorder="1"/>
    <xf numFmtId="166" fontId="0" fillId="0" borderId="14" xfId="0" applyNumberFormat="1" applyBorder="1"/>
    <xf numFmtId="44" fontId="2" fillId="0" borderId="0" xfId="2" applyFont="1" applyBorder="1"/>
    <xf numFmtId="166" fontId="0" fillId="0" borderId="0" xfId="0" applyNumberFormat="1"/>
    <xf numFmtId="44" fontId="2" fillId="0" borderId="15" xfId="2" applyFont="1" applyBorder="1"/>
    <xf numFmtId="0" fontId="0" fillId="0" borderId="16" xfId="0" applyBorder="1"/>
    <xf numFmtId="0" fontId="0" fillId="0" borderId="6" xfId="0" applyBorder="1"/>
    <xf numFmtId="0" fontId="0" fillId="0" borderId="17" xfId="0" applyBorder="1"/>
    <xf numFmtId="10" fontId="14" fillId="4" borderId="0" xfId="0" applyNumberFormat="1" applyFont="1" applyFill="1"/>
    <xf numFmtId="0" fontId="14" fillId="4" borderId="0" xfId="0" applyFont="1" applyFill="1"/>
    <xf numFmtId="167" fontId="14" fillId="4" borderId="0" xfId="0" applyNumberFormat="1" applyFont="1" applyFill="1"/>
    <xf numFmtId="4" fontId="14" fillId="4" borderId="0" xfId="0" applyNumberFormat="1" applyFont="1" applyFill="1"/>
    <xf numFmtId="0" fontId="15" fillId="4" borderId="0" xfId="0" applyFont="1" applyFill="1"/>
    <xf numFmtId="38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38101</xdr:colOff>
      <xdr:row>94</xdr:row>
      <xdr:rowOff>0</xdr:rowOff>
    </xdr:from>
    <xdr:to>
      <xdr:col>29</xdr:col>
      <xdr:colOff>542926</xdr:colOff>
      <xdr:row>119</xdr:row>
      <xdr:rowOff>29212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D218437-AF8D-E598-6F1C-897B756F5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1" y="15373350"/>
          <a:ext cx="6972300" cy="40773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19</xdr:col>
      <xdr:colOff>314325</xdr:colOff>
      <xdr:row>96</xdr:row>
      <xdr:rowOff>15560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8C3D836-F3B6-B69F-5A4B-96CFE5DE7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0734675"/>
          <a:ext cx="7610475" cy="497808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97</xdr:row>
      <xdr:rowOff>1</xdr:rowOff>
    </xdr:from>
    <xdr:to>
      <xdr:col>19</xdr:col>
      <xdr:colOff>342900</xdr:colOff>
      <xdr:row>117</xdr:row>
      <xdr:rowOff>121633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28C1D3F-8724-6523-871F-9E5C7FD33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5859126"/>
          <a:ext cx="7639050" cy="3360132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23</xdr:col>
      <xdr:colOff>618786</xdr:colOff>
      <xdr:row>44</xdr:row>
      <xdr:rowOff>104560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88C448-2DF4-CAEA-325A-42D9A8753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5524500"/>
          <a:ext cx="2714286" cy="1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441"/>
  <sheetViews>
    <sheetView tabSelected="1" zoomScaleNormal="100" workbookViewId="0"/>
  </sheetViews>
  <sheetFormatPr defaultRowHeight="12.75" x14ac:dyDescent="0.2"/>
  <cols>
    <col min="5" max="5" width="11.7109375" customWidth="1"/>
    <col min="6" max="6" width="1" customWidth="1"/>
    <col min="7" max="11" width="11.7109375" customWidth="1"/>
    <col min="12" max="12" width="1" customWidth="1"/>
    <col min="13" max="16" width="11.7109375" customWidth="1"/>
    <col min="17" max="17" width="12.7109375" customWidth="1"/>
    <col min="18" max="18" width="1" customWidth="1"/>
    <col min="19" max="19" width="12.7109375" customWidth="1"/>
    <col min="20" max="20" width="8.140625" customWidth="1"/>
    <col min="21" max="21" width="12" customWidth="1"/>
    <col min="23" max="23" width="10.28515625" bestFit="1" customWidth="1"/>
    <col min="24" max="24" width="10.28515625" customWidth="1"/>
    <col min="25" max="25" width="11.140625" customWidth="1"/>
    <col min="27" max="27" width="16.7109375" customWidth="1"/>
  </cols>
  <sheetData>
    <row r="2" spans="1:22" x14ac:dyDescent="0.2">
      <c r="A2" s="3" t="s">
        <v>32</v>
      </c>
      <c r="B2" s="3"/>
    </row>
    <row r="3" spans="1:22" x14ac:dyDescent="0.2">
      <c r="A3" s="53" t="s">
        <v>96</v>
      </c>
      <c r="B3" s="3"/>
    </row>
    <row r="4" spans="1:22" x14ac:dyDescent="0.2">
      <c r="E4" s="34"/>
      <c r="F4" s="15"/>
      <c r="G4" s="58" t="s">
        <v>14</v>
      </c>
      <c r="H4" s="58" t="s">
        <v>14</v>
      </c>
      <c r="I4" s="58" t="s">
        <v>14</v>
      </c>
      <c r="J4" s="58" t="s">
        <v>14</v>
      </c>
      <c r="K4" s="133"/>
      <c r="L4" s="72"/>
      <c r="M4" s="58" t="s">
        <v>14</v>
      </c>
      <c r="N4" s="58" t="s">
        <v>14</v>
      </c>
      <c r="O4" s="58" t="s">
        <v>14</v>
      </c>
      <c r="P4" s="104" t="s">
        <v>12</v>
      </c>
      <c r="Q4" s="62"/>
      <c r="R4" s="25"/>
      <c r="S4" s="62"/>
    </row>
    <row r="5" spans="1:22" x14ac:dyDescent="0.2">
      <c r="A5" s="146"/>
      <c r="E5" s="11" t="s">
        <v>14</v>
      </c>
      <c r="F5" s="15"/>
      <c r="G5" s="54" t="s">
        <v>15</v>
      </c>
      <c r="H5" s="125" t="s">
        <v>16</v>
      </c>
      <c r="I5" s="54" t="s">
        <v>17</v>
      </c>
      <c r="J5" s="54" t="s">
        <v>18</v>
      </c>
      <c r="K5" s="125" t="s">
        <v>14</v>
      </c>
      <c r="L5" s="73"/>
      <c r="M5" s="54" t="s">
        <v>15</v>
      </c>
      <c r="N5" s="125" t="s">
        <v>16</v>
      </c>
      <c r="O5" s="54" t="s">
        <v>17</v>
      </c>
      <c r="P5" s="63" t="s">
        <v>18</v>
      </c>
      <c r="Q5" s="105" t="s">
        <v>12</v>
      </c>
      <c r="R5" s="15"/>
      <c r="S5" s="63" t="s">
        <v>12</v>
      </c>
    </row>
    <row r="6" spans="1:22" x14ac:dyDescent="0.2">
      <c r="E6" s="12">
        <v>2020</v>
      </c>
      <c r="F6" s="16"/>
      <c r="G6" s="55">
        <v>2021</v>
      </c>
      <c r="H6" s="55">
        <v>2021</v>
      </c>
      <c r="I6" s="55">
        <v>2021</v>
      </c>
      <c r="J6" s="55">
        <v>2021</v>
      </c>
      <c r="K6" s="55">
        <v>2021</v>
      </c>
      <c r="L6" s="74"/>
      <c r="M6" s="55">
        <v>2022</v>
      </c>
      <c r="N6" s="55">
        <v>2022</v>
      </c>
      <c r="O6" s="55">
        <v>2022</v>
      </c>
      <c r="P6" s="64">
        <v>2022</v>
      </c>
      <c r="Q6" s="64">
        <v>2022</v>
      </c>
      <c r="R6" s="16"/>
      <c r="S6" s="64">
        <v>2023</v>
      </c>
    </row>
    <row r="7" spans="1:22" x14ac:dyDescent="0.2">
      <c r="A7" t="s">
        <v>0</v>
      </c>
      <c r="E7" s="5"/>
      <c r="F7" s="17"/>
      <c r="G7" s="5"/>
      <c r="H7" s="5"/>
      <c r="I7" s="5"/>
      <c r="J7" s="5"/>
      <c r="K7" s="5"/>
      <c r="L7" s="72"/>
      <c r="M7" s="5"/>
      <c r="N7" s="5"/>
      <c r="O7" s="5"/>
      <c r="P7" s="5"/>
      <c r="Q7" s="5"/>
      <c r="R7" s="25"/>
      <c r="S7" s="5"/>
    </row>
    <row r="8" spans="1:22" x14ac:dyDescent="0.2">
      <c r="A8" t="s">
        <v>33</v>
      </c>
      <c r="E8" s="42">
        <v>837133</v>
      </c>
      <c r="F8" s="43"/>
      <c r="G8" s="42">
        <v>625000</v>
      </c>
      <c r="H8" s="42">
        <v>404000</v>
      </c>
      <c r="I8" s="42">
        <v>568000</v>
      </c>
      <c r="J8" s="42">
        <v>847000</v>
      </c>
      <c r="K8" s="42">
        <f t="shared" ref="K8:K14" si="0">SUM(G8:J8)</f>
        <v>2444000</v>
      </c>
      <c r="L8" s="75"/>
      <c r="M8" s="42">
        <v>716000</v>
      </c>
      <c r="N8" s="42">
        <v>1000000</v>
      </c>
      <c r="O8" s="42">
        <v>1235000</v>
      </c>
      <c r="P8" s="42">
        <f t="shared" ref="P8" si="1">P55*P60*92/1000</f>
        <v>856888</v>
      </c>
      <c r="Q8" s="42">
        <f t="shared" ref="Q8:Q14" si="2">SUM(M8:P8)</f>
        <v>3807888</v>
      </c>
      <c r="R8" s="44"/>
      <c r="S8" s="42">
        <f>S55*S60*365/1000</f>
        <v>3900937.5</v>
      </c>
      <c r="T8" t="s">
        <v>51</v>
      </c>
    </row>
    <row r="9" spans="1:22" x14ac:dyDescent="0.2">
      <c r="A9" t="s">
        <v>44</v>
      </c>
      <c r="E9" s="46">
        <v>6453123</v>
      </c>
      <c r="F9" s="47"/>
      <c r="G9" s="46">
        <v>2565000</v>
      </c>
      <c r="H9" s="46">
        <v>3066000</v>
      </c>
      <c r="I9" s="46">
        <v>3477000</v>
      </c>
      <c r="J9" s="46">
        <v>3829000</v>
      </c>
      <c r="K9" s="46">
        <f t="shared" si="0"/>
        <v>12937000</v>
      </c>
      <c r="L9" s="76"/>
      <c r="M9" s="46">
        <v>4570000</v>
      </c>
      <c r="N9" s="46">
        <v>5476000</v>
      </c>
      <c r="O9" s="46">
        <v>4802000</v>
      </c>
      <c r="P9" s="46">
        <f t="shared" ref="P9" si="3">(P56*P61*92/1000)+(P57*P62*92/1000)</f>
        <v>4198231.4000000004</v>
      </c>
      <c r="Q9" s="46">
        <f t="shared" si="2"/>
        <v>19046231.399999999</v>
      </c>
      <c r="R9" s="48"/>
      <c r="S9" s="46">
        <f>(S56*S61*365/1000)+(S57*S62*365/1000)</f>
        <v>17503575</v>
      </c>
      <c r="T9" t="s">
        <v>50</v>
      </c>
    </row>
    <row r="10" spans="1:22" x14ac:dyDescent="0.2">
      <c r="A10" s="98" t="s">
        <v>47</v>
      </c>
      <c r="E10" s="46">
        <v>1070647</v>
      </c>
      <c r="F10" s="47"/>
      <c r="G10" s="46">
        <v>-30000</v>
      </c>
      <c r="H10" s="46">
        <v>-193000</v>
      </c>
      <c r="I10" s="46">
        <v>-293000</v>
      </c>
      <c r="J10" s="46">
        <v>-122000</v>
      </c>
      <c r="K10" s="46">
        <f t="shared" si="0"/>
        <v>-638000</v>
      </c>
      <c r="L10" s="76"/>
      <c r="M10" s="46">
        <v>-296000</v>
      </c>
      <c r="N10" s="46">
        <v>-2114000</v>
      </c>
      <c r="O10" s="46">
        <v>-847000</v>
      </c>
      <c r="P10" s="46">
        <v>0</v>
      </c>
      <c r="Q10" s="46">
        <f t="shared" si="2"/>
        <v>-3257000</v>
      </c>
      <c r="R10" s="48"/>
      <c r="S10" s="46">
        <v>0</v>
      </c>
      <c r="T10" s="98" t="s">
        <v>52</v>
      </c>
    </row>
    <row r="11" spans="1:22" x14ac:dyDescent="0.2">
      <c r="A11" s="98" t="s">
        <v>48</v>
      </c>
      <c r="E11" s="46">
        <v>74090</v>
      </c>
      <c r="F11" s="47"/>
      <c r="G11" s="46">
        <v>-337000</v>
      </c>
      <c r="H11" s="46">
        <v>-234000</v>
      </c>
      <c r="I11" s="46">
        <v>-201000</v>
      </c>
      <c r="J11" s="46">
        <v>258000</v>
      </c>
      <c r="K11" s="46">
        <f t="shared" si="0"/>
        <v>-514000</v>
      </c>
      <c r="L11" s="76"/>
      <c r="M11" s="46">
        <v>-2524000</v>
      </c>
      <c r="N11" s="46">
        <v>737000</v>
      </c>
      <c r="O11" s="46">
        <v>829000</v>
      </c>
      <c r="P11" s="46">
        <v>0</v>
      </c>
      <c r="Q11" s="46">
        <f t="shared" si="2"/>
        <v>-958000</v>
      </c>
      <c r="R11" s="48"/>
      <c r="S11" s="46">
        <v>0</v>
      </c>
    </row>
    <row r="12" spans="1:22" x14ac:dyDescent="0.2">
      <c r="A12" t="s">
        <v>34</v>
      </c>
      <c r="E12" s="46">
        <v>2582984</v>
      </c>
      <c r="F12" s="47"/>
      <c r="G12" s="46">
        <v>848000</v>
      </c>
      <c r="H12" s="46">
        <v>1022000</v>
      </c>
      <c r="I12" s="46">
        <v>1186000</v>
      </c>
      <c r="J12" s="46">
        <v>1232000</v>
      </c>
      <c r="K12" s="46">
        <f t="shared" si="0"/>
        <v>4288000</v>
      </c>
      <c r="L12" s="76"/>
      <c r="M12" s="46">
        <v>1469000</v>
      </c>
      <c r="N12" s="46">
        <v>2169000</v>
      </c>
      <c r="O12" s="46">
        <v>1561000</v>
      </c>
      <c r="P12" s="46">
        <v>2300000</v>
      </c>
      <c r="Q12" s="46">
        <f t="shared" si="2"/>
        <v>7499000</v>
      </c>
      <c r="R12" s="48"/>
      <c r="S12" s="46">
        <v>6000000</v>
      </c>
    </row>
    <row r="13" spans="1:22" ht="13.5" thickBot="1" x14ac:dyDescent="0.25">
      <c r="A13" t="s">
        <v>35</v>
      </c>
      <c r="E13" s="46">
        <v>-46883</v>
      </c>
      <c r="F13" s="48"/>
      <c r="G13" s="46">
        <v>-6000</v>
      </c>
      <c r="H13" s="46">
        <v>51000</v>
      </c>
      <c r="I13" s="46">
        <v>1000</v>
      </c>
      <c r="J13" s="46">
        <v>-29000</v>
      </c>
      <c r="K13" s="46">
        <f t="shared" si="0"/>
        <v>17000</v>
      </c>
      <c r="L13" s="76"/>
      <c r="M13" s="46">
        <v>25000</v>
      </c>
      <c r="N13" s="46">
        <v>97000</v>
      </c>
      <c r="O13" s="46">
        <v>-21000</v>
      </c>
      <c r="P13" s="46">
        <v>0</v>
      </c>
      <c r="Q13" s="46">
        <f t="shared" si="2"/>
        <v>101000</v>
      </c>
      <c r="R13" s="48"/>
      <c r="S13" s="46">
        <v>0</v>
      </c>
      <c r="T13" s="98"/>
    </row>
    <row r="14" spans="1:22" x14ac:dyDescent="0.2">
      <c r="A14" t="s">
        <v>25</v>
      </c>
      <c r="E14" s="49">
        <v>60954</v>
      </c>
      <c r="F14" s="50"/>
      <c r="G14" s="49">
        <v>29000</v>
      </c>
      <c r="H14" s="49">
        <v>23000</v>
      </c>
      <c r="I14" s="49">
        <v>27000</v>
      </c>
      <c r="J14" s="49">
        <v>29000</v>
      </c>
      <c r="K14" s="49">
        <f t="shared" si="0"/>
        <v>108000</v>
      </c>
      <c r="L14" s="77"/>
      <c r="M14" s="49">
        <v>23000</v>
      </c>
      <c r="N14" s="49">
        <v>42000</v>
      </c>
      <c r="O14" s="49">
        <v>34000</v>
      </c>
      <c r="P14" s="49">
        <v>25000</v>
      </c>
      <c r="Q14" s="49">
        <f t="shared" si="2"/>
        <v>124000</v>
      </c>
      <c r="R14" s="50"/>
      <c r="S14" s="115">
        <v>100000</v>
      </c>
      <c r="T14" s="117" t="s">
        <v>69</v>
      </c>
      <c r="U14" s="118"/>
      <c r="V14" s="119"/>
    </row>
    <row r="15" spans="1:22" x14ac:dyDescent="0.2">
      <c r="A15" t="s">
        <v>24</v>
      </c>
      <c r="E15" s="46">
        <f>SUM(E8:E14)</f>
        <v>11032048</v>
      </c>
      <c r="F15" s="48"/>
      <c r="G15" s="46">
        <f>SUM(G8:G14)</f>
        <v>3694000</v>
      </c>
      <c r="H15" s="46">
        <f>SUM(H8:H14)</f>
        <v>4139000</v>
      </c>
      <c r="I15" s="46">
        <f>SUM(I8:I14)</f>
        <v>4765000</v>
      </c>
      <c r="J15" s="46">
        <f>SUM(J8:J14)</f>
        <v>6044000</v>
      </c>
      <c r="K15" s="46">
        <f>SUM(K8:K14)</f>
        <v>18642000</v>
      </c>
      <c r="L15" s="76"/>
      <c r="M15" s="46">
        <f>SUM(M8:M14)</f>
        <v>3983000</v>
      </c>
      <c r="N15" s="46">
        <f>SUM(N8:N14)</f>
        <v>7407000</v>
      </c>
      <c r="O15" s="46">
        <f>SUM(O8:O14)</f>
        <v>7593000</v>
      </c>
      <c r="P15" s="46">
        <f>SUM(P8:P14)</f>
        <v>7380119.4000000004</v>
      </c>
      <c r="Q15" s="46">
        <f>SUM(Q8:Q14)</f>
        <v>26363119.399999999</v>
      </c>
      <c r="R15" s="48"/>
      <c r="S15" s="116">
        <f>SUM(S8:S14)</f>
        <v>27504512.5</v>
      </c>
      <c r="T15" s="120" t="s">
        <v>97</v>
      </c>
      <c r="U15" s="114"/>
      <c r="V15" s="121"/>
    </row>
    <row r="16" spans="1:22" x14ac:dyDescent="0.2">
      <c r="E16" s="46"/>
      <c r="F16" s="47"/>
      <c r="G16" s="46"/>
      <c r="H16" s="46"/>
      <c r="I16" s="46"/>
      <c r="J16" s="46"/>
      <c r="K16" s="46"/>
      <c r="L16" s="76"/>
      <c r="M16" s="46"/>
      <c r="N16" s="46"/>
      <c r="O16" s="46"/>
      <c r="P16" s="46"/>
      <c r="Q16" s="46"/>
      <c r="R16" s="48"/>
      <c r="S16" s="116"/>
      <c r="T16" s="120" t="s">
        <v>98</v>
      </c>
      <c r="U16" s="114"/>
      <c r="V16" s="121"/>
    </row>
    <row r="17" spans="1:22" ht="13.5" thickBot="1" x14ac:dyDescent="0.25">
      <c r="A17" t="s">
        <v>1</v>
      </c>
      <c r="E17" s="46"/>
      <c r="F17" s="47"/>
      <c r="G17" s="46"/>
      <c r="H17" s="46"/>
      <c r="I17" s="46"/>
      <c r="J17" s="46"/>
      <c r="K17" s="46"/>
      <c r="L17" s="76"/>
      <c r="M17" s="46"/>
      <c r="N17" s="46"/>
      <c r="O17" s="46"/>
      <c r="P17" s="46"/>
      <c r="Q17" s="46"/>
      <c r="R17" s="48"/>
      <c r="S17" s="116"/>
      <c r="T17" s="122" t="s">
        <v>99</v>
      </c>
      <c r="U17" s="123"/>
      <c r="V17" s="124"/>
    </row>
    <row r="18" spans="1:22" x14ac:dyDescent="0.2">
      <c r="A18" t="s">
        <v>36</v>
      </c>
      <c r="E18" s="46">
        <v>1063374</v>
      </c>
      <c r="F18" s="47"/>
      <c r="G18" s="46">
        <v>270000</v>
      </c>
      <c r="H18" s="46">
        <v>270000</v>
      </c>
      <c r="I18" s="46">
        <v>270000</v>
      </c>
      <c r="J18" s="46">
        <v>325000</v>
      </c>
      <c r="K18" s="46">
        <f t="shared" ref="K18:K28" si="4">SUM(G18:J18)</f>
        <v>1135000</v>
      </c>
      <c r="L18" s="76"/>
      <c r="M18" s="46">
        <v>318000</v>
      </c>
      <c r="N18" s="46">
        <v>324000</v>
      </c>
      <c r="O18" s="46">
        <v>335000</v>
      </c>
      <c r="P18" s="46">
        <f>P58*4.1*92/1000</f>
        <v>347401.19999999995</v>
      </c>
      <c r="Q18" s="46">
        <f t="shared" ref="Q18:Q28" si="5">SUM(M18:P18)</f>
        <v>1324401.2</v>
      </c>
      <c r="R18" s="48"/>
      <c r="S18" s="46">
        <f>S58*4.1*365/1000</f>
        <v>1481534.9999999998</v>
      </c>
      <c r="T18" s="98" t="s">
        <v>87</v>
      </c>
    </row>
    <row r="19" spans="1:22" x14ac:dyDescent="0.2">
      <c r="A19" t="s">
        <v>37</v>
      </c>
      <c r="E19" s="46">
        <v>734989</v>
      </c>
      <c r="F19" s="47"/>
      <c r="G19" s="46">
        <v>202000</v>
      </c>
      <c r="H19" s="46">
        <v>214000</v>
      </c>
      <c r="I19" s="46">
        <v>219000</v>
      </c>
      <c r="J19" s="46">
        <v>228000</v>
      </c>
      <c r="K19" s="46">
        <f t="shared" si="4"/>
        <v>863000</v>
      </c>
      <c r="L19" s="76"/>
      <c r="M19" s="46">
        <v>228000</v>
      </c>
      <c r="N19" s="46">
        <v>244000</v>
      </c>
      <c r="O19" s="46">
        <v>257000</v>
      </c>
      <c r="P19" s="46">
        <f>P58*3.1*92/1000</f>
        <v>262669.2</v>
      </c>
      <c r="Q19" s="46">
        <f t="shared" si="5"/>
        <v>991669.2</v>
      </c>
      <c r="R19" s="48"/>
      <c r="S19" s="46">
        <f>S58*3.1*365/1000</f>
        <v>1120185</v>
      </c>
      <c r="T19" s="98" t="s">
        <v>88</v>
      </c>
    </row>
    <row r="20" spans="1:22" x14ac:dyDescent="0.2">
      <c r="A20" t="s">
        <v>38</v>
      </c>
      <c r="E20" s="46">
        <v>459211</v>
      </c>
      <c r="F20" s="47"/>
      <c r="G20" s="46">
        <v>139000</v>
      </c>
      <c r="H20" s="46">
        <v>128000</v>
      </c>
      <c r="I20" s="46">
        <v>145000</v>
      </c>
      <c r="J20" s="46">
        <v>147000</v>
      </c>
      <c r="K20" s="46">
        <f t="shared" si="4"/>
        <v>559000</v>
      </c>
      <c r="L20" s="76"/>
      <c r="M20" s="46">
        <v>144000</v>
      </c>
      <c r="N20" s="46">
        <v>152000</v>
      </c>
      <c r="O20" s="46">
        <v>167000</v>
      </c>
      <c r="P20" s="46">
        <f>P58*1.95*92/1000</f>
        <v>165227.4</v>
      </c>
      <c r="Q20" s="46">
        <f t="shared" si="5"/>
        <v>628227.4</v>
      </c>
      <c r="R20" s="48"/>
      <c r="S20" s="46">
        <f>S58*1.95*365/1000</f>
        <v>704632.5</v>
      </c>
      <c r="T20" s="98" t="s">
        <v>86</v>
      </c>
    </row>
    <row r="21" spans="1:22" x14ac:dyDescent="0.2">
      <c r="A21" t="s">
        <v>39</v>
      </c>
      <c r="E21" s="46">
        <v>145788</v>
      </c>
      <c r="F21" s="47"/>
      <c r="G21" s="46">
        <v>33000</v>
      </c>
      <c r="H21" s="46">
        <v>35000</v>
      </c>
      <c r="I21" s="46">
        <v>44000</v>
      </c>
      <c r="J21" s="46">
        <v>42000</v>
      </c>
      <c r="K21" s="46">
        <f t="shared" si="4"/>
        <v>154000</v>
      </c>
      <c r="L21" s="76"/>
      <c r="M21" s="46">
        <v>45000</v>
      </c>
      <c r="N21" s="46">
        <v>35000</v>
      </c>
      <c r="O21" s="46">
        <v>35000</v>
      </c>
      <c r="P21" s="46">
        <v>50000</v>
      </c>
      <c r="Q21" s="46">
        <f t="shared" si="5"/>
        <v>165000</v>
      </c>
      <c r="R21" s="48"/>
      <c r="S21" s="46">
        <v>200000</v>
      </c>
    </row>
    <row r="22" spans="1:22" x14ac:dyDescent="0.2">
      <c r="A22" t="s">
        <v>40</v>
      </c>
      <c r="E22" s="46">
        <v>13083</v>
      </c>
      <c r="F22" s="47"/>
      <c r="G22" s="46">
        <v>11000</v>
      </c>
      <c r="H22" s="46">
        <v>13000</v>
      </c>
      <c r="I22" s="46">
        <v>4000</v>
      </c>
      <c r="J22" s="46">
        <v>43000</v>
      </c>
      <c r="K22" s="46">
        <f t="shared" si="4"/>
        <v>71000</v>
      </c>
      <c r="L22" s="76"/>
      <c r="M22" s="46">
        <v>3000</v>
      </c>
      <c r="N22" s="46">
        <v>20000</v>
      </c>
      <c r="O22" s="46">
        <v>18000</v>
      </c>
      <c r="P22" s="46">
        <v>5000</v>
      </c>
      <c r="Q22" s="46">
        <f t="shared" si="5"/>
        <v>46000</v>
      </c>
      <c r="R22" s="48"/>
      <c r="S22" s="46">
        <v>20000</v>
      </c>
    </row>
    <row r="23" spans="1:22" x14ac:dyDescent="0.2">
      <c r="A23" t="s">
        <v>45</v>
      </c>
      <c r="E23" s="46">
        <v>2099780</v>
      </c>
      <c r="F23" s="47"/>
      <c r="G23" s="46">
        <v>44000</v>
      </c>
      <c r="H23" s="46">
        <v>44000</v>
      </c>
      <c r="I23" s="46">
        <v>82000</v>
      </c>
      <c r="J23" s="46">
        <v>206000</v>
      </c>
      <c r="K23" s="46">
        <f t="shared" si="4"/>
        <v>376000</v>
      </c>
      <c r="L23" s="76"/>
      <c r="M23" s="46">
        <v>55000</v>
      </c>
      <c r="N23" s="46">
        <v>91000</v>
      </c>
      <c r="O23" s="46">
        <v>94000</v>
      </c>
      <c r="P23" s="46">
        <v>50000</v>
      </c>
      <c r="Q23" s="46">
        <f t="shared" si="5"/>
        <v>290000</v>
      </c>
      <c r="R23" s="48"/>
      <c r="S23" s="46">
        <v>200000</v>
      </c>
      <c r="T23" s="98" t="s">
        <v>55</v>
      </c>
    </row>
    <row r="24" spans="1:22" x14ac:dyDescent="0.2">
      <c r="A24" t="s">
        <v>41</v>
      </c>
      <c r="E24" s="46">
        <v>2697729</v>
      </c>
      <c r="F24" s="47"/>
      <c r="G24" s="46">
        <v>838000</v>
      </c>
      <c r="H24" s="46">
        <v>991000</v>
      </c>
      <c r="I24" s="46">
        <v>1184000</v>
      </c>
      <c r="J24" s="46">
        <v>1160000</v>
      </c>
      <c r="K24" s="46">
        <f t="shared" si="4"/>
        <v>4173000</v>
      </c>
      <c r="L24" s="76"/>
      <c r="M24" s="46">
        <v>1283000</v>
      </c>
      <c r="N24" s="46">
        <v>2127000</v>
      </c>
      <c r="O24" s="46">
        <v>1621000</v>
      </c>
      <c r="P24" s="46">
        <f>P12-100000</f>
        <v>2200000</v>
      </c>
      <c r="Q24" s="46">
        <f t="shared" si="5"/>
        <v>7231000</v>
      </c>
      <c r="R24" s="48"/>
      <c r="S24" s="46">
        <f>S12-400000</f>
        <v>5600000</v>
      </c>
      <c r="T24" s="98" t="s">
        <v>53</v>
      </c>
    </row>
    <row r="25" spans="1:22" x14ac:dyDescent="0.2">
      <c r="A25" t="s">
        <v>28</v>
      </c>
      <c r="E25" s="46">
        <v>3400353</v>
      </c>
      <c r="F25" s="47"/>
      <c r="G25" s="46">
        <v>900000</v>
      </c>
      <c r="H25" s="46">
        <v>914000</v>
      </c>
      <c r="I25" s="46">
        <v>927000</v>
      </c>
      <c r="J25" s="46">
        <v>910000</v>
      </c>
      <c r="K25" s="46">
        <f t="shared" si="4"/>
        <v>3651000</v>
      </c>
      <c r="L25" s="76"/>
      <c r="M25" s="46">
        <v>847000</v>
      </c>
      <c r="N25" s="46">
        <v>911000</v>
      </c>
      <c r="O25" s="46">
        <v>906000</v>
      </c>
      <c r="P25" s="46">
        <f>P58*10.75*92/1000</f>
        <v>910869</v>
      </c>
      <c r="Q25" s="46">
        <f t="shared" si="5"/>
        <v>3574869</v>
      </c>
      <c r="R25" s="48"/>
      <c r="S25" s="46">
        <f>S58*10.75*365/1000</f>
        <v>3884512.5</v>
      </c>
      <c r="T25" s="98" t="s">
        <v>92</v>
      </c>
    </row>
    <row r="26" spans="1:22" x14ac:dyDescent="0.2">
      <c r="A26" t="s">
        <v>29</v>
      </c>
      <c r="E26" s="46">
        <v>337427</v>
      </c>
      <c r="F26" s="47"/>
      <c r="G26" s="46">
        <v>75000</v>
      </c>
      <c r="H26" s="46">
        <v>89000</v>
      </c>
      <c r="I26" s="46">
        <v>91000</v>
      </c>
      <c r="J26" s="46">
        <v>104000</v>
      </c>
      <c r="K26" s="46">
        <f t="shared" si="4"/>
        <v>359000</v>
      </c>
      <c r="L26" s="76"/>
      <c r="M26" s="46">
        <v>89000</v>
      </c>
      <c r="N26" s="46">
        <v>98000</v>
      </c>
      <c r="O26" s="46">
        <v>128000</v>
      </c>
      <c r="P26" s="46">
        <v>110000</v>
      </c>
      <c r="Q26" s="46">
        <f t="shared" si="5"/>
        <v>425000</v>
      </c>
      <c r="R26" s="48"/>
      <c r="S26" s="46">
        <v>432000</v>
      </c>
      <c r="T26" s="98"/>
    </row>
    <row r="27" spans="1:22" x14ac:dyDescent="0.2">
      <c r="A27" t="s">
        <v>43</v>
      </c>
      <c r="E27" s="46">
        <v>146396</v>
      </c>
      <c r="F27" s="47"/>
      <c r="G27" s="46">
        <v>35000</v>
      </c>
      <c r="H27" s="46">
        <v>31000</v>
      </c>
      <c r="I27" s="46">
        <v>51000</v>
      </c>
      <c r="J27" s="46">
        <v>35000</v>
      </c>
      <c r="K27" s="46">
        <f t="shared" si="4"/>
        <v>152000</v>
      </c>
      <c r="L27" s="76"/>
      <c r="M27" s="46">
        <v>35000</v>
      </c>
      <c r="N27" s="46">
        <v>30000</v>
      </c>
      <c r="O27" s="46">
        <v>34000</v>
      </c>
      <c r="P27" s="46">
        <v>35000</v>
      </c>
      <c r="Q27" s="46">
        <f t="shared" si="5"/>
        <v>134000</v>
      </c>
      <c r="R27" s="48"/>
      <c r="S27" s="46">
        <v>150000</v>
      </c>
    </row>
    <row r="28" spans="1:22" x14ac:dyDescent="0.2">
      <c r="A28" t="s">
        <v>42</v>
      </c>
      <c r="E28" s="46">
        <v>477934</v>
      </c>
      <c r="F28" s="47"/>
      <c r="G28" s="46">
        <v>215000</v>
      </c>
      <c r="H28" s="46">
        <v>239000</v>
      </c>
      <c r="I28" s="46">
        <v>277000</v>
      </c>
      <c r="J28" s="46">
        <v>316000</v>
      </c>
      <c r="K28" s="46">
        <f t="shared" si="4"/>
        <v>1047000</v>
      </c>
      <c r="L28" s="76"/>
      <c r="M28" s="46">
        <v>390000</v>
      </c>
      <c r="N28" s="46">
        <v>472000</v>
      </c>
      <c r="O28" s="46">
        <v>334000</v>
      </c>
      <c r="P28" s="46">
        <f>P64*0.065</f>
        <v>328582.76100000006</v>
      </c>
      <c r="Q28" s="46">
        <f t="shared" si="5"/>
        <v>1524582.7609999999</v>
      </c>
      <c r="R28" s="48"/>
      <c r="S28" s="46">
        <f>S64*0.065</f>
        <v>1391293.3125</v>
      </c>
      <c r="T28" s="98" t="s">
        <v>91</v>
      </c>
    </row>
    <row r="29" spans="1:22" x14ac:dyDescent="0.2">
      <c r="E29" s="49"/>
      <c r="F29" s="52"/>
      <c r="G29" s="49"/>
      <c r="H29" s="49"/>
      <c r="I29" s="49"/>
      <c r="J29" s="49"/>
      <c r="K29" s="49"/>
      <c r="L29" s="77"/>
      <c r="M29" s="49"/>
      <c r="N29" s="49"/>
      <c r="O29" s="49"/>
      <c r="P29" s="49"/>
      <c r="Q29" s="49"/>
      <c r="R29" s="50"/>
      <c r="S29" s="49"/>
    </row>
    <row r="30" spans="1:22" x14ac:dyDescent="0.2">
      <c r="A30" t="s">
        <v>2</v>
      </c>
      <c r="E30" s="46">
        <f>SUM(E18:E29)</f>
        <v>11576064</v>
      </c>
      <c r="F30" s="47"/>
      <c r="G30" s="46">
        <f>SUM(G18:G29)</f>
        <v>2762000</v>
      </c>
      <c r="H30" s="46">
        <f>SUM(H18:H29)</f>
        <v>2968000</v>
      </c>
      <c r="I30" s="46">
        <f>SUM(I18:I29)</f>
        <v>3294000</v>
      </c>
      <c r="J30" s="46">
        <f>SUM(J18:J29)</f>
        <v>3516000</v>
      </c>
      <c r="K30" s="46">
        <f>SUM(K18:K29)</f>
        <v>12540000</v>
      </c>
      <c r="L30" s="76"/>
      <c r="M30" s="46">
        <f>SUM(M18:M29)</f>
        <v>3437000</v>
      </c>
      <c r="N30" s="46">
        <f>SUM(N18:N29)</f>
        <v>4504000</v>
      </c>
      <c r="O30" s="46">
        <f>SUM(O18:O29)</f>
        <v>3929000</v>
      </c>
      <c r="P30" s="46">
        <f>SUM(P18:P29)</f>
        <v>4464749.5609999998</v>
      </c>
      <c r="Q30" s="46">
        <f>SUM(Q18:Q29)</f>
        <v>16334749.561000001</v>
      </c>
      <c r="R30" s="48"/>
      <c r="S30" s="46">
        <f>SUM(S18:S29)</f>
        <v>15184158.3125</v>
      </c>
      <c r="T30" s="1"/>
    </row>
    <row r="31" spans="1:22" x14ac:dyDescent="0.2">
      <c r="E31" s="46"/>
      <c r="F31" s="47"/>
      <c r="G31" s="46"/>
      <c r="H31" s="46"/>
      <c r="I31" s="46"/>
      <c r="J31" s="46"/>
      <c r="K31" s="46"/>
      <c r="L31" s="76"/>
      <c r="M31" s="46"/>
      <c r="N31" s="46"/>
      <c r="O31" s="46"/>
      <c r="P31" s="46"/>
      <c r="Q31" s="46"/>
      <c r="R31" s="48"/>
      <c r="S31" s="46"/>
    </row>
    <row r="32" spans="1:22" x14ac:dyDescent="0.2">
      <c r="A32" t="s">
        <v>3</v>
      </c>
      <c r="E32" s="45">
        <f>E15-E30</f>
        <v>-544016</v>
      </c>
      <c r="F32" s="47"/>
      <c r="G32" s="45">
        <f>G15-G30</f>
        <v>932000</v>
      </c>
      <c r="H32" s="45">
        <f>H15-H30</f>
        <v>1171000</v>
      </c>
      <c r="I32" s="45">
        <f>I15-I30</f>
        <v>1471000</v>
      </c>
      <c r="J32" s="45">
        <f>J15-J30</f>
        <v>2528000</v>
      </c>
      <c r="K32" s="45">
        <f>K15-K30</f>
        <v>6102000</v>
      </c>
      <c r="L32" s="78"/>
      <c r="M32" s="45">
        <f>M15-M30</f>
        <v>546000</v>
      </c>
      <c r="N32" s="45">
        <f>N15-N30</f>
        <v>2903000</v>
      </c>
      <c r="O32" s="45">
        <f>O15-O30</f>
        <v>3664000</v>
      </c>
      <c r="P32" s="45">
        <f>P15-P30</f>
        <v>2915369.8390000006</v>
      </c>
      <c r="Q32" s="45">
        <f>Q15-Q30</f>
        <v>10028369.838999998</v>
      </c>
      <c r="R32" s="47"/>
      <c r="S32" s="45">
        <f>S15-S30</f>
        <v>12320354.1875</v>
      </c>
      <c r="T32" s="1"/>
      <c r="U32" s="1"/>
      <c r="V32" s="1"/>
    </row>
    <row r="33" spans="1:29" x14ac:dyDescent="0.2">
      <c r="E33" s="45"/>
      <c r="F33" s="47"/>
      <c r="G33" s="45"/>
      <c r="H33" s="45"/>
      <c r="I33" s="45"/>
      <c r="J33" s="45"/>
      <c r="K33" s="45"/>
      <c r="L33" s="78"/>
      <c r="M33" s="45"/>
      <c r="N33" s="45"/>
      <c r="O33" s="45"/>
      <c r="P33" s="45"/>
      <c r="Q33" s="45"/>
      <c r="R33" s="47"/>
      <c r="S33" s="45"/>
      <c r="T33" s="1"/>
      <c r="U33" s="1"/>
      <c r="V33" s="1"/>
    </row>
    <row r="34" spans="1:29" x14ac:dyDescent="0.2">
      <c r="A34" t="s">
        <v>26</v>
      </c>
      <c r="E34" s="45"/>
      <c r="F34" s="47"/>
      <c r="G34" s="45"/>
      <c r="H34" s="45"/>
      <c r="I34" s="45"/>
      <c r="J34" s="45"/>
      <c r="K34" s="45"/>
      <c r="L34" s="78"/>
      <c r="M34" s="45"/>
      <c r="N34" s="45"/>
      <c r="O34" s="45"/>
      <c r="P34" s="45"/>
      <c r="Q34" s="45"/>
      <c r="R34" s="47"/>
      <c r="S34" s="45"/>
      <c r="T34" s="1"/>
      <c r="U34" s="181" t="s">
        <v>67</v>
      </c>
      <c r="V34" s="182"/>
      <c r="W34" s="182"/>
      <c r="X34" s="182"/>
    </row>
    <row r="35" spans="1:29" x14ac:dyDescent="0.2">
      <c r="A35" s="98" t="s">
        <v>56</v>
      </c>
      <c r="E35" s="46">
        <v>10228</v>
      </c>
      <c r="F35" s="47"/>
      <c r="G35" s="45">
        <v>-4000</v>
      </c>
      <c r="H35" s="45">
        <v>-2000</v>
      </c>
      <c r="I35" s="45">
        <v>6000</v>
      </c>
      <c r="J35" s="45">
        <v>9000</v>
      </c>
      <c r="K35" s="46">
        <f>SUM(G35:J35)</f>
        <v>9000</v>
      </c>
      <c r="L35" s="76"/>
      <c r="M35" s="45">
        <v>-1000</v>
      </c>
      <c r="N35" s="45">
        <v>27000</v>
      </c>
      <c r="O35" s="45">
        <v>40000</v>
      </c>
      <c r="P35" s="45">
        <v>0</v>
      </c>
      <c r="Q35" s="46">
        <f>SUM(M35:P35)</f>
        <v>66000</v>
      </c>
      <c r="R35" s="48"/>
      <c r="S35" s="45">
        <v>0</v>
      </c>
      <c r="T35" s="1"/>
      <c r="U35" s="1"/>
      <c r="V35" s="1"/>
    </row>
    <row r="36" spans="1:29" x14ac:dyDescent="0.2">
      <c r="A36" t="s">
        <v>30</v>
      </c>
      <c r="E36" s="46">
        <v>-205266</v>
      </c>
      <c r="F36" s="47"/>
      <c r="G36" s="45">
        <v>-47000</v>
      </c>
      <c r="H36" s="45">
        <v>-45000</v>
      </c>
      <c r="I36" s="45">
        <v>-48000</v>
      </c>
      <c r="J36" s="45">
        <v>-38000</v>
      </c>
      <c r="K36" s="46">
        <f>SUM(G36:J36)</f>
        <v>-178000</v>
      </c>
      <c r="L36" s="76"/>
      <c r="M36" s="45">
        <v>-48000</v>
      </c>
      <c r="N36" s="45">
        <v>-48000</v>
      </c>
      <c r="O36" s="45">
        <v>-41000</v>
      </c>
      <c r="P36" s="45">
        <v>-40000</v>
      </c>
      <c r="Q36" s="46">
        <f>SUM(M36:P36)</f>
        <v>-177000</v>
      </c>
      <c r="R36" s="48"/>
      <c r="S36" s="45">
        <v>-170000</v>
      </c>
      <c r="T36" s="91"/>
      <c r="U36" s="91"/>
      <c r="V36" s="91"/>
      <c r="W36" s="53"/>
      <c r="X36" s="53"/>
    </row>
    <row r="37" spans="1:29" x14ac:dyDescent="0.2">
      <c r="E37" s="49"/>
      <c r="F37" s="52"/>
      <c r="G37" s="51"/>
      <c r="H37" s="51"/>
      <c r="I37" s="51"/>
      <c r="J37" s="51"/>
      <c r="K37" s="49"/>
      <c r="L37" s="77"/>
      <c r="M37" s="51"/>
      <c r="N37" s="51"/>
      <c r="O37" s="51"/>
      <c r="P37" s="51"/>
      <c r="Q37" s="49"/>
      <c r="R37" s="50"/>
      <c r="S37" s="51"/>
      <c r="T37" s="32"/>
      <c r="U37" s="32"/>
      <c r="V37" s="32"/>
      <c r="W37" s="3"/>
      <c r="X37" s="3"/>
      <c r="Y37" s="3"/>
      <c r="Z37" s="3"/>
      <c r="AA37" s="33"/>
      <c r="AB37" s="33"/>
      <c r="AC37" s="33"/>
    </row>
    <row r="38" spans="1:29" x14ac:dyDescent="0.2">
      <c r="E38" s="46"/>
      <c r="F38" s="47"/>
      <c r="G38" s="45"/>
      <c r="H38" s="45"/>
      <c r="I38" s="45"/>
      <c r="J38" s="45"/>
      <c r="K38" s="46"/>
      <c r="L38" s="76"/>
      <c r="M38" s="45"/>
      <c r="N38" s="45"/>
      <c r="O38" s="45"/>
      <c r="P38" s="45"/>
      <c r="Q38" s="46"/>
      <c r="R38" s="48"/>
      <c r="S38" s="45"/>
      <c r="T38" s="32"/>
      <c r="U38" s="32"/>
      <c r="V38" s="32"/>
      <c r="W38" s="3"/>
      <c r="X38" s="3"/>
      <c r="Y38" s="3"/>
      <c r="Z38" s="3"/>
      <c r="AA38" s="3"/>
      <c r="AB38" s="3"/>
      <c r="AC38" s="33"/>
    </row>
    <row r="39" spans="1:29" x14ac:dyDescent="0.2">
      <c r="A39" t="s">
        <v>27</v>
      </c>
      <c r="E39" s="45">
        <f>SUM(E32:E38)</f>
        <v>-739054</v>
      </c>
      <c r="F39" s="47"/>
      <c r="G39" s="45">
        <f>SUM(G32:G38)</f>
        <v>881000</v>
      </c>
      <c r="H39" s="45">
        <f>SUM(H32:H38)</f>
        <v>1124000</v>
      </c>
      <c r="I39" s="45">
        <f>SUM(I32:I38)</f>
        <v>1429000</v>
      </c>
      <c r="J39" s="45">
        <f>SUM(J32:J38)</f>
        <v>2499000</v>
      </c>
      <c r="K39" s="45">
        <f>SUM(K32:K38)</f>
        <v>5933000</v>
      </c>
      <c r="L39" s="78"/>
      <c r="M39" s="45">
        <f>SUM(M32:M38)</f>
        <v>497000</v>
      </c>
      <c r="N39" s="45">
        <f>SUM(N32:N38)</f>
        <v>2882000</v>
      </c>
      <c r="O39" s="45">
        <f>SUM(O32:O38)</f>
        <v>3663000</v>
      </c>
      <c r="P39" s="45">
        <f>SUM(P32:P38)</f>
        <v>2875369.8390000006</v>
      </c>
      <c r="Q39" s="45">
        <f>SUM(Q32:Q38)</f>
        <v>9917369.8389999978</v>
      </c>
      <c r="R39" s="47"/>
      <c r="S39" s="45">
        <f>SUM(S32:S38)</f>
        <v>12150354.1875</v>
      </c>
      <c r="T39" s="1"/>
      <c r="U39" s="1"/>
      <c r="V39" s="1"/>
    </row>
    <row r="40" spans="1:29" x14ac:dyDescent="0.2">
      <c r="E40" s="46"/>
      <c r="F40" s="47"/>
      <c r="G40" s="46"/>
      <c r="H40" s="46"/>
      <c r="I40" s="46"/>
      <c r="J40" s="46"/>
      <c r="K40" s="46"/>
      <c r="L40" s="76"/>
      <c r="M40" s="46"/>
      <c r="N40" s="46"/>
      <c r="O40" s="46"/>
      <c r="P40" s="46"/>
      <c r="Q40" s="46"/>
      <c r="R40" s="48"/>
      <c r="S40" s="46"/>
      <c r="T40" s="1"/>
      <c r="U40" s="1"/>
      <c r="V40" s="1"/>
    </row>
    <row r="41" spans="1:29" x14ac:dyDescent="0.2">
      <c r="A41" t="s">
        <v>4</v>
      </c>
      <c r="E41" s="46"/>
      <c r="F41" s="47"/>
      <c r="G41" s="46"/>
      <c r="H41" s="46"/>
      <c r="I41" s="46"/>
      <c r="J41" s="46"/>
      <c r="K41" s="46"/>
      <c r="L41" s="76"/>
      <c r="M41" s="46"/>
      <c r="N41" s="46"/>
      <c r="O41" s="46"/>
      <c r="P41" s="46"/>
      <c r="Q41" s="46"/>
      <c r="R41" s="48"/>
      <c r="S41" s="46"/>
    </row>
    <row r="42" spans="1:29" x14ac:dyDescent="0.2">
      <c r="A42" t="s">
        <v>5</v>
      </c>
      <c r="E42" s="46">
        <v>51881</v>
      </c>
      <c r="F42" s="47"/>
      <c r="G42" s="46">
        <v>240000</v>
      </c>
      <c r="H42" s="46">
        <v>314000</v>
      </c>
      <c r="I42" s="46">
        <v>445000</v>
      </c>
      <c r="J42" s="46">
        <v>392000</v>
      </c>
      <c r="K42" s="46">
        <f>SUM(G42:J42)</f>
        <v>1391000</v>
      </c>
      <c r="L42" s="76"/>
      <c r="M42" s="46">
        <v>572000</v>
      </c>
      <c r="N42" s="46">
        <v>746000</v>
      </c>
      <c r="O42" s="46">
        <v>482000</v>
      </c>
      <c r="P42" s="46">
        <f>P39*0.15</f>
        <v>431305.4758500001</v>
      </c>
      <c r="Q42" s="46">
        <f>SUM(M42:P42)</f>
        <v>2231305.47585</v>
      </c>
      <c r="R42" s="48"/>
      <c r="S42" s="46">
        <f>S39*0.15</f>
        <v>1822553.128125</v>
      </c>
      <c r="T42" s="103" t="s">
        <v>89</v>
      </c>
      <c r="U42" s="91"/>
      <c r="V42" s="32"/>
      <c r="W42" s="32"/>
      <c r="X42" s="32"/>
    </row>
    <row r="43" spans="1:29" x14ac:dyDescent="0.2">
      <c r="A43" t="s">
        <v>6</v>
      </c>
      <c r="E43" s="46">
        <v>-186390</v>
      </c>
      <c r="F43" s="47"/>
      <c r="G43" s="46">
        <v>-36000</v>
      </c>
      <c r="H43" s="46">
        <v>-97000</v>
      </c>
      <c r="I43" s="46">
        <v>-111000</v>
      </c>
      <c r="J43" s="46">
        <v>122000</v>
      </c>
      <c r="K43" s="46">
        <f>SUM(G43:J43)</f>
        <v>-122000</v>
      </c>
      <c r="L43" s="76"/>
      <c r="M43" s="46">
        <v>-465000</v>
      </c>
      <c r="N43" s="46">
        <v>-102000</v>
      </c>
      <c r="O43" s="46">
        <v>327000</v>
      </c>
      <c r="P43" s="46">
        <f>P39*0.08</f>
        <v>230029.58712000004</v>
      </c>
      <c r="Q43" s="46">
        <f>SUM(M43:P43)</f>
        <v>-9970.4128799999598</v>
      </c>
      <c r="R43" s="48"/>
      <c r="S43" s="46">
        <f>S39*0.08</f>
        <v>972028.33499999996</v>
      </c>
      <c r="T43" s="111" t="s">
        <v>90</v>
      </c>
      <c r="U43" s="95"/>
      <c r="V43" s="94"/>
      <c r="W43" s="94"/>
      <c r="X43" s="94"/>
    </row>
    <row r="44" spans="1:29" x14ac:dyDescent="0.2">
      <c r="E44" s="46"/>
      <c r="F44" s="47"/>
      <c r="G44" s="46"/>
      <c r="H44" s="46"/>
      <c r="I44" s="46"/>
      <c r="J44" s="46"/>
      <c r="K44" s="46"/>
      <c r="L44" s="76"/>
      <c r="M44" s="46"/>
      <c r="N44" s="46"/>
      <c r="O44" s="46"/>
      <c r="P44" s="46"/>
      <c r="Q44" s="46"/>
      <c r="R44" s="48"/>
      <c r="S44" s="46"/>
      <c r="U44" s="93"/>
      <c r="V44" s="93"/>
      <c r="W44" s="93"/>
      <c r="X44" s="96"/>
    </row>
    <row r="45" spans="1:29" x14ac:dyDescent="0.2">
      <c r="A45" t="s">
        <v>7</v>
      </c>
      <c r="E45" s="56">
        <f>E39-E42-E43</f>
        <v>-604545</v>
      </c>
      <c r="F45" s="57"/>
      <c r="G45" s="56">
        <f>G39-G42-G43</f>
        <v>677000</v>
      </c>
      <c r="H45" s="56">
        <f>H39-H42-H43</f>
        <v>907000</v>
      </c>
      <c r="I45" s="56">
        <f>I39-I42-I43</f>
        <v>1095000</v>
      </c>
      <c r="J45" s="56">
        <f>J39-J42-J43</f>
        <v>1985000</v>
      </c>
      <c r="K45" s="56">
        <f>K39-K42-K43</f>
        <v>4664000</v>
      </c>
      <c r="L45" s="79"/>
      <c r="M45" s="56">
        <f>M39-M42-M43</f>
        <v>390000</v>
      </c>
      <c r="N45" s="56">
        <f>N39-N42-N43</f>
        <v>2238000</v>
      </c>
      <c r="O45" s="56">
        <f>O39-O42-O43</f>
        <v>2854000</v>
      </c>
      <c r="P45" s="56">
        <f>P39-P42-P43</f>
        <v>2214034.7760300003</v>
      </c>
      <c r="Q45" s="56">
        <f>Q39-Q42-Q43</f>
        <v>7696034.7760299975</v>
      </c>
      <c r="R45" s="57"/>
      <c r="S45" s="56">
        <f>S39-S42-S43</f>
        <v>9355772.7243749984</v>
      </c>
      <c r="U45" s="93"/>
      <c r="V45" s="93"/>
      <c r="W45" s="93"/>
      <c r="X45" s="97"/>
    </row>
    <row r="46" spans="1:29" ht="13.5" thickBot="1" x14ac:dyDescent="0.25">
      <c r="E46" s="36"/>
      <c r="F46" s="37"/>
      <c r="G46" s="36"/>
      <c r="H46" s="36"/>
      <c r="I46" s="36"/>
      <c r="J46" s="36"/>
      <c r="K46" s="36"/>
      <c r="L46" s="80"/>
      <c r="M46" s="36"/>
      <c r="N46" s="36"/>
      <c r="O46" s="36"/>
      <c r="P46" s="36"/>
      <c r="Q46" s="36"/>
      <c r="R46" s="38"/>
      <c r="S46" s="36"/>
      <c r="U46" s="93"/>
      <c r="V46" s="93"/>
      <c r="W46" s="93"/>
      <c r="X46" s="97"/>
    </row>
    <row r="47" spans="1:29" x14ac:dyDescent="0.2">
      <c r="A47" s="98" t="s">
        <v>54</v>
      </c>
      <c r="E47" s="39">
        <v>583571</v>
      </c>
      <c r="F47" s="40"/>
      <c r="G47" s="39">
        <v>585264.24399999995</v>
      </c>
      <c r="H47" s="39">
        <v>585264.24399999995</v>
      </c>
      <c r="I47" s="39">
        <v>585264.24399999995</v>
      </c>
      <c r="J47" s="39">
        <v>585264.24399999995</v>
      </c>
      <c r="K47" s="39">
        <v>585264.24399999995</v>
      </c>
      <c r="L47" s="81"/>
      <c r="M47" s="39">
        <v>587635</v>
      </c>
      <c r="N47" s="39">
        <v>587635</v>
      </c>
      <c r="O47" s="39">
        <v>587635</v>
      </c>
      <c r="P47" s="39">
        <v>587635</v>
      </c>
      <c r="Q47" s="39">
        <v>587635</v>
      </c>
      <c r="R47" s="41"/>
      <c r="S47" s="39">
        <v>588000</v>
      </c>
      <c r="T47" s="53" t="s">
        <v>84</v>
      </c>
      <c r="U47" s="53"/>
      <c r="V47" s="53"/>
      <c r="W47" s="53"/>
      <c r="X47" s="53"/>
    </row>
    <row r="48" spans="1:29" ht="13.5" thickBot="1" x14ac:dyDescent="0.25">
      <c r="A48" s="2" t="s">
        <v>13</v>
      </c>
      <c r="B48" s="2"/>
      <c r="C48" s="2"/>
      <c r="D48" s="2"/>
      <c r="E48" s="107">
        <f>E45/E47</f>
        <v>-1.0359407852686306</v>
      </c>
      <c r="F48" s="21"/>
      <c r="G48" s="107">
        <f>G45/G47</f>
        <v>1.1567424576854897</v>
      </c>
      <c r="H48" s="107">
        <f>H45/H47</f>
        <v>1.5497273399124654</v>
      </c>
      <c r="I48" s="107">
        <f>I45/I47</f>
        <v>1.8709497653849498</v>
      </c>
      <c r="J48" s="107">
        <f>J45/J47</f>
        <v>3.3916303966110735</v>
      </c>
      <c r="K48" s="107">
        <f>K45/K47</f>
        <v>7.9690499595939785</v>
      </c>
      <c r="L48" s="82"/>
      <c r="M48" s="107">
        <f>M45/M47</f>
        <v>0.66367728266696169</v>
      </c>
      <c r="N48" s="107">
        <f>N45/N47</f>
        <v>3.8084865605350262</v>
      </c>
      <c r="O48" s="107">
        <f>O45/O47</f>
        <v>4.8567563198243811</v>
      </c>
      <c r="P48" s="107">
        <f>P45/P47</f>
        <v>3.7677040612455017</v>
      </c>
      <c r="Q48" s="107">
        <f>Q45/Q47</f>
        <v>13.096624224271865</v>
      </c>
      <c r="R48" s="108"/>
      <c r="S48" s="107">
        <f>S45/S47</f>
        <v>15.911178102678569</v>
      </c>
      <c r="T48" s="53"/>
    </row>
    <row r="49" spans="1:26" x14ac:dyDescent="0.2">
      <c r="A49" s="4"/>
      <c r="B49" s="4"/>
      <c r="C49" s="4"/>
      <c r="D49" s="4"/>
      <c r="E49" s="35"/>
      <c r="F49" s="22"/>
      <c r="G49" s="10"/>
      <c r="H49" s="10"/>
      <c r="I49" s="10"/>
      <c r="J49" s="10"/>
      <c r="K49" s="10"/>
      <c r="L49" s="83"/>
      <c r="M49" s="10">
        <v>0.66</v>
      </c>
      <c r="N49" s="10">
        <v>3.81</v>
      </c>
      <c r="O49" s="10">
        <v>4.8600000000000003</v>
      </c>
      <c r="P49" s="109">
        <v>3.73</v>
      </c>
      <c r="Q49" s="109">
        <f>SUM(M49:P49)</f>
        <v>13.06</v>
      </c>
      <c r="R49" s="27"/>
      <c r="S49" s="110">
        <v>15.5</v>
      </c>
      <c r="T49" s="59" t="s">
        <v>68</v>
      </c>
      <c r="U49" s="60"/>
      <c r="V49" s="60"/>
      <c r="W49" s="3"/>
    </row>
    <row r="50" spans="1:26" x14ac:dyDescent="0.2">
      <c r="E50" s="10"/>
      <c r="F50" s="22"/>
      <c r="G50" s="10"/>
      <c r="H50" s="10"/>
      <c r="I50" s="10"/>
      <c r="J50" s="10"/>
      <c r="K50" s="10"/>
      <c r="L50" s="83"/>
      <c r="M50" s="10"/>
      <c r="N50" s="10"/>
      <c r="O50" s="10"/>
      <c r="P50" s="10"/>
      <c r="Q50" s="10"/>
      <c r="R50" s="27"/>
      <c r="S50" s="10"/>
      <c r="T50" s="33"/>
    </row>
    <row r="51" spans="1:26" x14ac:dyDescent="0.2">
      <c r="E51" s="71">
        <v>4855623</v>
      </c>
      <c r="F51" s="22"/>
      <c r="G51" s="71">
        <f>G45-G11-G13+G22+G23+G25+G27+G43+8000</f>
        <v>1982000</v>
      </c>
      <c r="H51" s="71">
        <f>H45-H11-H13+H22+H23+H25+H27+H43+6000</f>
        <v>2001000</v>
      </c>
      <c r="I51" s="71">
        <f>I45-I11-I13+I22+I23+I25+I27+I43+9000</f>
        <v>2257000</v>
      </c>
      <c r="J51" s="71">
        <f>J45-J11-J13+J22+J23+J25+J27+J43-3000</f>
        <v>3069000</v>
      </c>
      <c r="K51" s="71">
        <f>SUM(G51:J51)</f>
        <v>9309000</v>
      </c>
      <c r="L51" s="84"/>
      <c r="M51" s="71">
        <f>M45-M11-M13+M22+M23+M25+M27+M43+20000</f>
        <v>3384000</v>
      </c>
      <c r="N51" s="71">
        <f>N45-N11-N13+N22+N23+N25+N27+N43</f>
        <v>2354000</v>
      </c>
      <c r="O51" s="71">
        <f>O45-O11-O13+O22+O23+O25+O27+O43-2000</f>
        <v>3423000</v>
      </c>
      <c r="P51" s="71">
        <f>P45-P11-P13+P22+P23+P25+P27+P43-16000</f>
        <v>3428933.3631500006</v>
      </c>
      <c r="Q51" s="71">
        <f>SUM(M51:P51)</f>
        <v>12589933.363150001</v>
      </c>
      <c r="R51" s="27"/>
      <c r="S51" s="71">
        <f>S45-S11-S13+S22+S23+S25+S27+S43-500000</f>
        <v>14082313.559374999</v>
      </c>
      <c r="T51" s="98" t="s">
        <v>95</v>
      </c>
    </row>
    <row r="52" spans="1:26" x14ac:dyDescent="0.2">
      <c r="A52" t="s">
        <v>19</v>
      </c>
      <c r="E52" s="13">
        <f>E51/E47</f>
        <v>8.3205351191200378</v>
      </c>
      <c r="F52" s="22"/>
      <c r="G52" s="13">
        <f>G51/G47</f>
        <v>3.3865045068428956</v>
      </c>
      <c r="H52" s="13">
        <f>H51/H47</f>
        <v>3.4189684753746894</v>
      </c>
      <c r="I52" s="13">
        <f>I51/I47</f>
        <v>3.8563777355925408</v>
      </c>
      <c r="J52" s="13">
        <f>J51/J47</f>
        <v>5.2437852328460375</v>
      </c>
      <c r="K52" s="13">
        <f>SUM(G52:J52)</f>
        <v>15.905635950656162</v>
      </c>
      <c r="L52" s="85"/>
      <c r="M52" s="13">
        <f>M51/M47</f>
        <v>5.7586767296025592</v>
      </c>
      <c r="N52" s="13">
        <f>N51/N47</f>
        <v>4.0058880087128914</v>
      </c>
      <c r="O52" s="13">
        <f>O51/O47</f>
        <v>5.8250444578692555</v>
      </c>
      <c r="P52" s="13">
        <f>P51/P47</f>
        <v>5.8351414792345597</v>
      </c>
      <c r="Q52" s="13">
        <f>SUM(M52:P52)</f>
        <v>21.424750675419265</v>
      </c>
      <c r="R52" s="22"/>
      <c r="S52" s="13">
        <f>S51/S47</f>
        <v>23.949512856079931</v>
      </c>
      <c r="T52" s="53" t="s">
        <v>46</v>
      </c>
      <c r="Y52" s="112"/>
    </row>
    <row r="53" spans="1:26" x14ac:dyDescent="0.2">
      <c r="E53" s="10"/>
      <c r="F53" s="19"/>
      <c r="G53" s="35"/>
      <c r="H53" s="35"/>
      <c r="I53" s="35"/>
      <c r="J53" s="35"/>
      <c r="K53" s="35"/>
      <c r="L53" s="85"/>
      <c r="M53" s="35"/>
      <c r="N53" s="35"/>
      <c r="O53" s="35"/>
      <c r="P53" s="106">
        <v>5.69</v>
      </c>
      <c r="Q53" s="106">
        <v>21.09</v>
      </c>
      <c r="R53" s="22"/>
      <c r="S53" s="106">
        <v>22.02</v>
      </c>
      <c r="T53" s="68" t="s">
        <v>93</v>
      </c>
      <c r="U53" s="69"/>
      <c r="V53" s="69"/>
      <c r="W53" s="69"/>
      <c r="X53" s="70">
        <f>(Q52+Q52+S52)/3*7.5</f>
        <v>166.99753551729614</v>
      </c>
      <c r="Y53" s="113"/>
    </row>
    <row r="54" spans="1:26" x14ac:dyDescent="0.2">
      <c r="A54" t="s">
        <v>8</v>
      </c>
      <c r="E54" s="6"/>
      <c r="F54" s="19"/>
      <c r="G54" s="6"/>
      <c r="H54" s="6"/>
      <c r="I54" s="6"/>
      <c r="J54" s="6"/>
      <c r="K54" s="6"/>
      <c r="L54" s="86"/>
      <c r="M54" s="6"/>
      <c r="N54" s="6"/>
      <c r="O54" s="6"/>
      <c r="P54" s="6"/>
      <c r="Q54" s="6"/>
      <c r="R54" s="26"/>
      <c r="S54" s="6"/>
      <c r="T54" s="134"/>
      <c r="U54" s="126"/>
      <c r="V54" s="143" t="s">
        <v>58</v>
      </c>
      <c r="W54" s="144"/>
      <c r="X54" s="145">
        <v>156.66999999999999</v>
      </c>
    </row>
    <row r="55" spans="1:26" x14ac:dyDescent="0.2">
      <c r="A55" t="s">
        <v>9</v>
      </c>
      <c r="E55" s="6">
        <v>1251750</v>
      </c>
      <c r="F55" s="19"/>
      <c r="G55" s="6">
        <v>1342000</v>
      </c>
      <c r="H55" s="6">
        <v>1445000</v>
      </c>
      <c r="I55" s="6">
        <v>1422000</v>
      </c>
      <c r="J55" s="6">
        <v>1534000</v>
      </c>
      <c r="K55" s="6">
        <f>SUM(G55:J55)/4</f>
        <v>1435750</v>
      </c>
      <c r="L55" s="86"/>
      <c r="M55" s="6">
        <v>1458000</v>
      </c>
      <c r="N55" s="6">
        <v>1528000</v>
      </c>
      <c r="O55" s="6">
        <v>1469000</v>
      </c>
      <c r="P55" s="6">
        <v>1560000</v>
      </c>
      <c r="Q55" s="6">
        <f>SUM(M55:P55)/4</f>
        <v>1503750</v>
      </c>
      <c r="R55" s="26"/>
      <c r="S55" s="6">
        <v>1710000</v>
      </c>
      <c r="T55" s="135"/>
      <c r="U55" s="136"/>
      <c r="V55" s="98" t="s">
        <v>100</v>
      </c>
      <c r="X55" s="66">
        <v>146</v>
      </c>
    </row>
    <row r="56" spans="1:26" x14ac:dyDescent="0.2">
      <c r="A56" t="s">
        <v>21</v>
      </c>
      <c r="E56" s="6">
        <v>409258</v>
      </c>
      <c r="F56" s="19"/>
      <c r="G56" s="6">
        <v>431000</v>
      </c>
      <c r="H56" s="6">
        <v>448600</v>
      </c>
      <c r="I56" s="6">
        <v>449500</v>
      </c>
      <c r="J56" s="6">
        <v>450600</v>
      </c>
      <c r="K56" s="6">
        <f>SUM(G56:J56)/4</f>
        <v>444925</v>
      </c>
      <c r="L56" s="86"/>
      <c r="M56" s="6">
        <v>450100</v>
      </c>
      <c r="N56" s="6">
        <v>464100</v>
      </c>
      <c r="O56" s="6">
        <v>465100</v>
      </c>
      <c r="P56" s="6">
        <v>466000</v>
      </c>
      <c r="Q56" s="6">
        <f>SUM(M56:P56)/4</f>
        <v>461325</v>
      </c>
      <c r="R56" s="26"/>
      <c r="S56" s="6">
        <v>485000</v>
      </c>
      <c r="T56" s="135"/>
      <c r="U56" s="137"/>
      <c r="V56" s="98" t="s">
        <v>101</v>
      </c>
      <c r="X56" s="66">
        <v>150</v>
      </c>
      <c r="Y56" s="98"/>
    </row>
    <row r="57" spans="1:26" x14ac:dyDescent="0.2">
      <c r="A57" t="s">
        <v>20</v>
      </c>
      <c r="E57" s="7">
        <v>136033</v>
      </c>
      <c r="F57" s="20"/>
      <c r="G57" s="7">
        <v>124300</v>
      </c>
      <c r="H57" s="7">
        <v>138500</v>
      </c>
      <c r="I57" s="7">
        <v>157900</v>
      </c>
      <c r="J57" s="7">
        <v>156900</v>
      </c>
      <c r="K57" s="7">
        <f>SUM(G57:J57)/4</f>
        <v>144400</v>
      </c>
      <c r="L57" s="87"/>
      <c r="M57" s="7">
        <v>190300</v>
      </c>
      <c r="N57" s="7">
        <v>201900</v>
      </c>
      <c r="O57" s="7">
        <v>209300</v>
      </c>
      <c r="P57" s="7">
        <v>195000</v>
      </c>
      <c r="Q57" s="7">
        <f>SUM(M57:P57)/4</f>
        <v>199125</v>
      </c>
      <c r="R57" s="18"/>
      <c r="S57" s="7">
        <v>220000</v>
      </c>
      <c r="T57" s="135"/>
      <c r="U57" s="137"/>
      <c r="V57" s="98" t="s">
        <v>102</v>
      </c>
      <c r="X57" s="66">
        <v>156</v>
      </c>
    </row>
    <row r="58" spans="1:26" x14ac:dyDescent="0.2">
      <c r="D58" s="98" t="s">
        <v>49</v>
      </c>
      <c r="E58" s="8">
        <f>E55/6+E56+E57</f>
        <v>753916</v>
      </c>
      <c r="F58" s="19"/>
      <c r="G58" s="8">
        <f t="shared" ref="G58:K58" si="6">G55/6+G56+G57</f>
        <v>778966.66666666663</v>
      </c>
      <c r="H58" s="8">
        <f t="shared" si="6"/>
        <v>827933.33333333337</v>
      </c>
      <c r="I58" s="8">
        <f t="shared" si="6"/>
        <v>844400</v>
      </c>
      <c r="J58" s="8">
        <f t="shared" si="6"/>
        <v>863166.66666666663</v>
      </c>
      <c r="K58" s="8">
        <f t="shared" si="6"/>
        <v>828616.66666666663</v>
      </c>
      <c r="L58" s="88"/>
      <c r="M58" s="8">
        <f t="shared" ref="M58:Q58" si="7">M55/6+M56+M57</f>
        <v>883400</v>
      </c>
      <c r="N58" s="8">
        <f t="shared" si="7"/>
        <v>920666.66666666663</v>
      </c>
      <c r="O58" s="8">
        <f t="shared" si="7"/>
        <v>919233.33333333337</v>
      </c>
      <c r="P58" s="8">
        <f t="shared" si="7"/>
        <v>921000</v>
      </c>
      <c r="Q58" s="8">
        <f t="shared" si="7"/>
        <v>911075</v>
      </c>
      <c r="R58" s="19"/>
      <c r="S58" s="8">
        <f>S55/6+S56+S57</f>
        <v>990000</v>
      </c>
      <c r="T58" s="102"/>
      <c r="U58" s="98"/>
      <c r="V58" s="98" t="s">
        <v>103</v>
      </c>
      <c r="X58" s="66">
        <v>163</v>
      </c>
      <c r="Y58" s="3"/>
      <c r="Z58" s="67"/>
    </row>
    <row r="59" spans="1:26" x14ac:dyDescent="0.2">
      <c r="A59" t="s">
        <v>31</v>
      </c>
      <c r="E59" s="65">
        <v>0.13769999999999999</v>
      </c>
      <c r="F59" s="19"/>
      <c r="G59" s="6"/>
      <c r="H59" s="6"/>
      <c r="I59" s="6"/>
      <c r="J59" s="6"/>
      <c r="K59" s="65">
        <f>(K58-E58)/E58</f>
        <v>9.9083540695072969E-2</v>
      </c>
      <c r="L59" s="89"/>
      <c r="M59" s="6"/>
      <c r="N59" s="6"/>
      <c r="O59" s="6"/>
      <c r="P59" s="6"/>
      <c r="Q59" s="65">
        <f>(Q58-K58)/K58</f>
        <v>9.9513244966510497E-2</v>
      </c>
      <c r="R59" s="26"/>
      <c r="S59" s="65">
        <f>(S58-Q58)/Q58</f>
        <v>8.6628433444008446E-2</v>
      </c>
      <c r="T59" s="130" t="s">
        <v>85</v>
      </c>
      <c r="U59" s="130"/>
      <c r="V59" s="130"/>
      <c r="W59" s="131"/>
      <c r="X59" s="131"/>
      <c r="Y59" s="126"/>
    </row>
    <row r="60" spans="1:26" x14ac:dyDescent="0.2">
      <c r="A60" t="s">
        <v>10</v>
      </c>
      <c r="E60" s="9">
        <v>2.31</v>
      </c>
      <c r="F60" s="23"/>
      <c r="G60" s="9">
        <v>5.12</v>
      </c>
      <c r="H60" s="9">
        <v>3.02</v>
      </c>
      <c r="I60" s="9">
        <v>4.3396619999999997</v>
      </c>
      <c r="J60" s="9">
        <v>5.95</v>
      </c>
      <c r="K60" s="9">
        <f>SUM(G60:J60)/4</f>
        <v>4.6074155000000001</v>
      </c>
      <c r="L60" s="90"/>
      <c r="M60" s="9">
        <v>5.65</v>
      </c>
      <c r="N60" s="9">
        <v>1.43</v>
      </c>
      <c r="O60" s="9">
        <v>6.66</v>
      </c>
      <c r="P60" s="9">
        <f>AA92-0.25</f>
        <v>5.9705128205128206</v>
      </c>
      <c r="Q60" s="9">
        <f>SUM(M60:P60)/4</f>
        <v>4.9276282051282054</v>
      </c>
      <c r="R60" s="28"/>
      <c r="S60" s="128">
        <v>6.25</v>
      </c>
      <c r="T60" s="176" t="s">
        <v>82</v>
      </c>
      <c r="U60" s="177"/>
      <c r="V60" s="177"/>
      <c r="W60" s="178"/>
      <c r="X60" s="179"/>
      <c r="Y60" s="126"/>
    </row>
    <row r="61" spans="1:26" x14ac:dyDescent="0.2">
      <c r="A61" t="s">
        <v>22</v>
      </c>
      <c r="E61" s="128">
        <v>43.9</v>
      </c>
      <c r="F61" s="23"/>
      <c r="G61" s="9">
        <v>57.438389999999998</v>
      </c>
      <c r="H61" s="9">
        <v>61.54663</v>
      </c>
      <c r="I61" s="9">
        <v>63.75</v>
      </c>
      <c r="J61" s="9">
        <v>73.118020000000001</v>
      </c>
      <c r="K61" s="9">
        <f>SUM(G61:J61)/4</f>
        <v>63.963259999999998</v>
      </c>
      <c r="L61" s="90"/>
      <c r="M61" s="9">
        <v>88.070250000000001</v>
      </c>
      <c r="N61" s="9">
        <v>80.182500000000005</v>
      </c>
      <c r="O61" s="9">
        <f>W83</f>
        <v>84.038372393033768</v>
      </c>
      <c r="P61" s="9">
        <f>W92</f>
        <v>83.278862660944199</v>
      </c>
      <c r="Q61" s="9">
        <f>SUM(M61:P61)/4</f>
        <v>83.892496263494493</v>
      </c>
      <c r="R61" s="28"/>
      <c r="S61" s="9">
        <v>83</v>
      </c>
      <c r="T61" s="180" t="s">
        <v>81</v>
      </c>
      <c r="U61" s="180"/>
      <c r="V61" s="180"/>
      <c r="W61" s="180"/>
      <c r="X61" s="179"/>
      <c r="Y61" s="126"/>
    </row>
    <row r="62" spans="1:26" x14ac:dyDescent="0.2">
      <c r="A62" t="s">
        <v>23</v>
      </c>
      <c r="E62" s="9">
        <v>13.4</v>
      </c>
      <c r="F62" s="23"/>
      <c r="G62" s="9">
        <v>28.03</v>
      </c>
      <c r="H62" s="9">
        <v>29.15</v>
      </c>
      <c r="I62" s="9">
        <v>37.72</v>
      </c>
      <c r="J62" s="9">
        <v>40.4</v>
      </c>
      <c r="K62" s="9">
        <f>SUM(G62:J62)/4</f>
        <v>33.825000000000003</v>
      </c>
      <c r="L62" s="90"/>
      <c r="M62" s="9">
        <v>39.76</v>
      </c>
      <c r="N62" s="9">
        <v>42.28</v>
      </c>
      <c r="O62" s="9">
        <v>36.01</v>
      </c>
      <c r="P62" s="9">
        <v>35</v>
      </c>
      <c r="Q62" s="9">
        <f>SUM(M62:P62)/4</f>
        <v>38.262499999999996</v>
      </c>
      <c r="R62" s="28"/>
      <c r="S62" s="9">
        <v>35</v>
      </c>
      <c r="T62" s="127" t="s">
        <v>83</v>
      </c>
      <c r="U62" s="127"/>
      <c r="V62" s="127"/>
      <c r="W62" s="127"/>
      <c r="X62" s="127"/>
      <c r="Y62" s="126"/>
    </row>
    <row r="63" spans="1:26" x14ac:dyDescent="0.2">
      <c r="E63" s="6"/>
      <c r="F63" s="19"/>
      <c r="G63" s="6"/>
      <c r="H63" s="6"/>
      <c r="I63" s="6"/>
      <c r="J63" s="6"/>
      <c r="K63" s="6"/>
      <c r="L63" s="86"/>
      <c r="M63" s="6"/>
      <c r="N63" s="6"/>
      <c r="O63" s="6"/>
      <c r="P63" s="6"/>
      <c r="Q63" s="6"/>
      <c r="R63" s="26"/>
      <c r="S63" s="6"/>
      <c r="T63" s="127" t="s">
        <v>59</v>
      </c>
      <c r="U63" s="127"/>
      <c r="V63" s="127"/>
      <c r="W63" s="127"/>
    </row>
    <row r="64" spans="1:26" x14ac:dyDescent="0.2">
      <c r="A64" t="s">
        <v>11</v>
      </c>
      <c r="E64" s="14">
        <f>(E55*E60*365)/1000+(E56*E61*365)/1000+(E57*E62*365)/1000</f>
        <v>8278495.9785000002</v>
      </c>
      <c r="F64" s="19"/>
      <c r="G64" s="14">
        <f>(G55*G60*90)/1000+(G56*G61*90)/1000+(G57*G62*90)/1000</f>
        <v>3160000.3580999998</v>
      </c>
      <c r="H64" s="14">
        <f>(H55*H60*91)/1000+(H56*H61*91)/1000+(H57*H62*91)/1000</f>
        <v>3277000.3828379996</v>
      </c>
      <c r="I64" s="14">
        <f>(I55*I60*92)/1000+(I56*I61*92)/1000+(I57*I62*92)/1000</f>
        <v>3752000.3374879993</v>
      </c>
      <c r="J64" s="14">
        <f>(J55*J60*92)/1000+(J56*J61*92)/1000+(J57*J62*92)/1000</f>
        <v>4453999.6627040002</v>
      </c>
      <c r="K64" s="24">
        <f>SUM(G64:J64)</f>
        <v>14643000.74113</v>
      </c>
      <c r="L64" s="84"/>
      <c r="M64" s="14">
        <f>(M55*M60*90)/1000+(M56*M61*90)/1000+(M57*M62*90)/1000</f>
        <v>4990000.2772499993</v>
      </c>
      <c r="N64" s="14">
        <f>(N55*N60*91)/1000+(N56*N61*91)/1000+(N57*N62*91)/1000</f>
        <v>4362000.3927500006</v>
      </c>
      <c r="O64" s="14">
        <f>(O55*O60*92)/1000+(O56*O61*92)/1000+(O57*O62*92)/1000</f>
        <v>5189414.5600000005</v>
      </c>
      <c r="P64" s="14">
        <f>(P55*P60*92)/1000+(P56*P61*92)/1000+(P57*P62*92)/1000</f>
        <v>5055119.4000000004</v>
      </c>
      <c r="Q64" s="24">
        <f>SUM(M64:P64)</f>
        <v>19596534.630000003</v>
      </c>
      <c r="R64" s="61"/>
      <c r="S64" s="14">
        <f>(S55*S60*365)/1000+(S56*S61*365)/1000+(S57*S62*365)/1000</f>
        <v>21404512.5</v>
      </c>
      <c r="T64" s="3"/>
      <c r="U64" s="3"/>
      <c r="V64" s="3"/>
      <c r="W64" s="3"/>
    </row>
    <row r="65" spans="1:27" x14ac:dyDescent="0.2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98"/>
    </row>
    <row r="66" spans="1:27" ht="13.5" thickBot="1" x14ac:dyDescent="0.25">
      <c r="A66" s="53" t="s">
        <v>60</v>
      </c>
      <c r="B66" s="53"/>
      <c r="C66" s="53"/>
      <c r="D66" s="53"/>
      <c r="E66" s="1"/>
      <c r="F66" s="1"/>
      <c r="I66" s="138" t="s">
        <v>94</v>
      </c>
      <c r="J66" s="139"/>
      <c r="K66" s="66"/>
      <c r="L66" s="66"/>
      <c r="M66" s="29"/>
      <c r="N66" s="29"/>
      <c r="O66" s="30"/>
      <c r="U66" s="98" t="s">
        <v>70</v>
      </c>
    </row>
    <row r="67" spans="1:27" x14ac:dyDescent="0.2">
      <c r="A67" s="53" t="s">
        <v>61</v>
      </c>
      <c r="B67" s="53"/>
      <c r="C67" s="139">
        <v>1548</v>
      </c>
      <c r="D67" s="139"/>
      <c r="E67" s="1"/>
      <c r="F67" s="1"/>
      <c r="I67" s="99"/>
      <c r="J67" s="92"/>
      <c r="K67" s="66"/>
      <c r="L67" s="66"/>
      <c r="M67" s="29"/>
      <c r="N67" s="29"/>
      <c r="O67" s="30"/>
      <c r="U67" s="147"/>
      <c r="V67" s="148"/>
      <c r="W67" s="149" t="s">
        <v>71</v>
      </c>
      <c r="X67" s="148"/>
      <c r="Y67" s="148"/>
      <c r="Z67" s="148"/>
      <c r="AA67" s="150" t="s">
        <v>71</v>
      </c>
    </row>
    <row r="68" spans="1:27" x14ac:dyDescent="0.2">
      <c r="A68" s="53" t="s">
        <v>62</v>
      </c>
      <c r="B68" s="53"/>
      <c r="C68" s="140">
        <v>829</v>
      </c>
      <c r="D68" s="140">
        <f>SUM(C67:C68)</f>
        <v>2377</v>
      </c>
      <c r="E68" s="1"/>
      <c r="F68" s="1"/>
      <c r="I68" s="100"/>
      <c r="J68" s="1"/>
      <c r="K68" s="66"/>
      <c r="L68" s="66"/>
      <c r="M68" s="1"/>
      <c r="N68" s="1"/>
      <c r="O68" s="31"/>
      <c r="U68" s="151"/>
      <c r="W68" s="152" t="s">
        <v>72</v>
      </c>
      <c r="AA68" s="153" t="s">
        <v>73</v>
      </c>
    </row>
    <row r="69" spans="1:27" x14ac:dyDescent="0.2">
      <c r="A69" s="53" t="s">
        <v>64</v>
      </c>
      <c r="B69" s="53"/>
      <c r="C69" s="139"/>
      <c r="D69" s="141">
        <v>8222</v>
      </c>
      <c r="E69" s="1"/>
      <c r="F69" s="1"/>
      <c r="I69" s="100"/>
      <c r="J69" s="1"/>
      <c r="K69" s="66"/>
      <c r="L69" s="66"/>
      <c r="M69" s="1"/>
      <c r="N69" s="1"/>
      <c r="O69" s="31"/>
      <c r="U69" s="154" t="s">
        <v>74</v>
      </c>
      <c r="W69" s="155">
        <f>N56</f>
        <v>464100</v>
      </c>
      <c r="Y69" s="98" t="s">
        <v>75</v>
      </c>
      <c r="AA69" s="156">
        <f>N55</f>
        <v>1528000</v>
      </c>
    </row>
    <row r="70" spans="1:27" ht="13.5" thickBot="1" x14ac:dyDescent="0.25">
      <c r="A70" s="53" t="s">
        <v>65</v>
      </c>
      <c r="B70" s="53"/>
      <c r="C70" s="139"/>
      <c r="D70" s="142">
        <f>D68+(D69/6)</f>
        <v>3747.333333333333</v>
      </c>
      <c r="E70" s="1"/>
      <c r="F70" s="1"/>
      <c r="I70" s="100"/>
      <c r="J70" s="1"/>
      <c r="K70" s="66"/>
      <c r="L70" s="66"/>
      <c r="M70" s="1"/>
      <c r="N70" s="1"/>
      <c r="O70" s="1"/>
      <c r="U70" s="154" t="s">
        <v>76</v>
      </c>
      <c r="V70" s="157" t="s">
        <v>77</v>
      </c>
      <c r="Y70" s="98" t="s">
        <v>76</v>
      </c>
      <c r="Z70" s="157" t="s">
        <v>78</v>
      </c>
      <c r="AA70" s="158"/>
    </row>
    <row r="71" spans="1:27" ht="13.5" thickTop="1" x14ac:dyDescent="0.2">
      <c r="C71" s="92"/>
      <c r="D71" s="92"/>
      <c r="E71" s="1"/>
      <c r="F71" s="1"/>
      <c r="G71" s="100" t="s">
        <v>63</v>
      </c>
      <c r="H71" s="1"/>
      <c r="I71" s="100"/>
      <c r="J71" s="1"/>
      <c r="K71" s="66"/>
      <c r="L71" s="66"/>
      <c r="M71" s="1"/>
      <c r="N71" s="1"/>
      <c r="O71" s="1"/>
      <c r="U71" s="159">
        <v>140000</v>
      </c>
      <c r="V71" s="160">
        <v>65.62</v>
      </c>
      <c r="W71" s="161">
        <f>(U71/W69)*V71</f>
        <v>19.794871794871796</v>
      </c>
      <c r="Y71" s="162">
        <v>725000</v>
      </c>
      <c r="Z71" s="160">
        <v>3.57</v>
      </c>
      <c r="AA71" s="163">
        <f>(Y71/AA69)*Z71</f>
        <v>1.6938808900523559</v>
      </c>
    </row>
    <row r="72" spans="1:27" ht="15.75" x14ac:dyDescent="0.25">
      <c r="A72" s="129" t="s">
        <v>57</v>
      </c>
      <c r="B72" s="129"/>
      <c r="C72" s="129"/>
      <c r="D72" s="129"/>
      <c r="E72" s="132"/>
      <c r="F72" s="1"/>
      <c r="I72" s="100"/>
      <c r="J72" s="101"/>
      <c r="K72" s="66"/>
      <c r="L72" s="66"/>
      <c r="U72" s="164">
        <v>0</v>
      </c>
      <c r="V72" s="161">
        <v>0</v>
      </c>
      <c r="W72" s="161">
        <f>U72/W69*V72</f>
        <v>0</v>
      </c>
      <c r="Y72" s="155">
        <v>0</v>
      </c>
      <c r="Z72" s="161">
        <v>0</v>
      </c>
      <c r="AA72" s="163">
        <f>Y72/AA69*Z72</f>
        <v>0</v>
      </c>
    </row>
    <row r="73" spans="1:27" x14ac:dyDescent="0.2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U73" s="165">
        <f>W69-U71-U72</f>
        <v>324100</v>
      </c>
      <c r="V73" s="166">
        <v>108.41</v>
      </c>
      <c r="W73" s="166">
        <f>U73/W69*V73</f>
        <v>75.707134238310701</v>
      </c>
      <c r="X73" s="126"/>
      <c r="Y73" s="167">
        <f>AA69-Y71-Y72</f>
        <v>803000</v>
      </c>
      <c r="Z73" s="166">
        <v>7.17</v>
      </c>
      <c r="AA73" s="168">
        <f>Y73/AA69*Z73</f>
        <v>3.7680039267015704</v>
      </c>
    </row>
    <row r="74" spans="1:27" ht="15.75" x14ac:dyDescent="0.25">
      <c r="A74" s="129" t="s">
        <v>66</v>
      </c>
      <c r="B74" s="129"/>
      <c r="C74" s="129"/>
      <c r="D74" s="129"/>
      <c r="E74" s="132"/>
      <c r="F74" s="1"/>
      <c r="G74" s="1"/>
      <c r="H74" s="1"/>
      <c r="I74" s="1"/>
      <c r="J74" s="1"/>
      <c r="K74" s="1"/>
      <c r="L74" s="1"/>
      <c r="M74" s="1"/>
      <c r="N74" s="1"/>
      <c r="O74" s="1"/>
      <c r="U74" s="169">
        <f>SUM(U71:U73)</f>
        <v>464100</v>
      </c>
      <c r="W74" s="170">
        <f>SUM(W71:W73)</f>
        <v>95.502006033182496</v>
      </c>
      <c r="X74" s="126"/>
      <c r="Y74" s="171">
        <f>SUM(Y71:Y73)</f>
        <v>1528000</v>
      </c>
      <c r="AA74" s="172">
        <f>SUM(AA71:AA73)</f>
        <v>5.4618848167539262</v>
      </c>
    </row>
    <row r="75" spans="1:27" x14ac:dyDescent="0.2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U75" s="151"/>
      <c r="AA75" s="158"/>
    </row>
    <row r="76" spans="1:27" x14ac:dyDescent="0.2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U76" s="151"/>
      <c r="W76" s="152" t="s">
        <v>79</v>
      </c>
      <c r="AA76" s="153" t="s">
        <v>79</v>
      </c>
    </row>
    <row r="77" spans="1:27" x14ac:dyDescent="0.2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U77" s="151"/>
      <c r="W77" s="152" t="s">
        <v>72</v>
      </c>
      <c r="AA77" s="153" t="s">
        <v>73</v>
      </c>
    </row>
    <row r="78" spans="1:27" x14ac:dyDescent="0.2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U78" s="154" t="s">
        <v>74</v>
      </c>
      <c r="W78" s="155">
        <f>O56</f>
        <v>465100</v>
      </c>
      <c r="Y78" s="98" t="s">
        <v>75</v>
      </c>
      <c r="AA78" s="156">
        <f>O55</f>
        <v>1469000</v>
      </c>
    </row>
    <row r="79" spans="1:27" x14ac:dyDescent="0.2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U79" s="154" t="s">
        <v>76</v>
      </c>
      <c r="V79" s="157" t="s">
        <v>78</v>
      </c>
      <c r="Y79" s="98" t="s">
        <v>76</v>
      </c>
      <c r="Z79" s="157" t="s">
        <v>78</v>
      </c>
      <c r="AA79" s="158"/>
    </row>
    <row r="80" spans="1:27" x14ac:dyDescent="0.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U80" s="159">
        <v>140000</v>
      </c>
      <c r="V80" s="160">
        <v>65.62</v>
      </c>
      <c r="W80" s="161">
        <f>(U80/W78)*V80</f>
        <v>19.752311330896582</v>
      </c>
      <c r="Y80" s="162">
        <v>241667</v>
      </c>
      <c r="Z80" s="160">
        <v>3.57</v>
      </c>
      <c r="AA80" s="163">
        <f>(Y80/AA78)*Z80</f>
        <v>0.58730509870660308</v>
      </c>
    </row>
    <row r="81" spans="5:27" x14ac:dyDescent="0.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U81" s="164">
        <v>0</v>
      </c>
      <c r="V81" s="161">
        <v>0</v>
      </c>
      <c r="W81" s="161">
        <f>U81/W78*V81</f>
        <v>0</v>
      </c>
      <c r="Y81" s="155">
        <v>0</v>
      </c>
      <c r="Z81" s="161">
        <v>0</v>
      </c>
      <c r="AA81" s="163">
        <f>Y81/AA78*Z81</f>
        <v>0</v>
      </c>
    </row>
    <row r="82" spans="5:27" x14ac:dyDescent="0.2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U82" s="165">
        <f>W78-U80-U81</f>
        <v>325100</v>
      </c>
      <c r="V82" s="166">
        <v>91.97</v>
      </c>
      <c r="W82" s="166">
        <f>U82/W78*V82</f>
        <v>64.286061062137179</v>
      </c>
      <c r="X82" s="126"/>
      <c r="Y82" s="167">
        <f>AA78-Y80-Y81</f>
        <v>1227333</v>
      </c>
      <c r="Z82" s="166">
        <v>7.8</v>
      </c>
      <c r="AA82" s="168">
        <f>Y82/AA78*Z82</f>
        <v>6.5168123893805303</v>
      </c>
    </row>
    <row r="83" spans="5:27" x14ac:dyDescent="0.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U83" s="169">
        <f>SUM(U80:U82)</f>
        <v>465100</v>
      </c>
      <c r="W83" s="170">
        <f>SUM(W80:W82)</f>
        <v>84.038372393033768</v>
      </c>
      <c r="X83" s="126"/>
      <c r="Y83" s="171">
        <f>SUM(Y80:Y82)</f>
        <v>1469000</v>
      </c>
      <c r="AA83" s="172">
        <f>SUM(AA80:AA82)</f>
        <v>7.1041174880871338</v>
      </c>
    </row>
    <row r="84" spans="5:27" x14ac:dyDescent="0.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U84" s="151"/>
      <c r="AA84" s="158"/>
    </row>
    <row r="85" spans="5:27" x14ac:dyDescent="0.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U85" s="151"/>
      <c r="W85" s="152" t="s">
        <v>80</v>
      </c>
      <c r="AA85" s="153" t="s">
        <v>80</v>
      </c>
    </row>
    <row r="86" spans="5:27" x14ac:dyDescent="0.2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U86" s="151"/>
      <c r="W86" s="152" t="s">
        <v>72</v>
      </c>
      <c r="AA86" s="153" t="s">
        <v>73</v>
      </c>
    </row>
    <row r="87" spans="5:27" x14ac:dyDescent="0.2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U87" s="154" t="s">
        <v>74</v>
      </c>
      <c r="W87" s="155">
        <f>P56</f>
        <v>466000</v>
      </c>
      <c r="Y87" s="98" t="s">
        <v>75</v>
      </c>
      <c r="AA87" s="156">
        <f>P55</f>
        <v>1560000</v>
      </c>
    </row>
    <row r="88" spans="5:27" x14ac:dyDescent="0.2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U88" s="154" t="s">
        <v>76</v>
      </c>
      <c r="V88" s="157" t="s">
        <v>78</v>
      </c>
      <c r="Y88" s="98" t="s">
        <v>76</v>
      </c>
      <c r="Z88" s="157" t="s">
        <v>78</v>
      </c>
      <c r="AA88" s="158"/>
    </row>
    <row r="89" spans="5:27" x14ac:dyDescent="0.2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U89" s="159">
        <v>87000</v>
      </c>
      <c r="V89" s="160">
        <v>88.85</v>
      </c>
      <c r="W89" s="161">
        <f>(U89/W87)*V89</f>
        <v>16.587875536480684</v>
      </c>
      <c r="Y89" s="162">
        <v>200000</v>
      </c>
      <c r="Z89" s="160">
        <v>4.32</v>
      </c>
      <c r="AA89" s="163">
        <f>(Y89/AA87)*Z89</f>
        <v>0.55384615384615388</v>
      </c>
    </row>
    <row r="90" spans="5:27" x14ac:dyDescent="0.2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U90" s="164">
        <v>0</v>
      </c>
      <c r="V90" s="161">
        <v>0</v>
      </c>
      <c r="W90" s="161">
        <f>U90/W87*V90</f>
        <v>0</v>
      </c>
      <c r="Y90" s="155">
        <v>0</v>
      </c>
      <c r="Z90" s="161">
        <v>0</v>
      </c>
      <c r="AA90" s="163">
        <f>Y90/AA87*Z90</f>
        <v>0</v>
      </c>
    </row>
    <row r="91" spans="5:27" x14ac:dyDescent="0.2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U91" s="165">
        <f>W87-U89-U90</f>
        <v>379000</v>
      </c>
      <c r="V91" s="166">
        <v>82</v>
      </c>
      <c r="W91" s="166">
        <f>U91/W87*V91</f>
        <v>66.690987124463518</v>
      </c>
      <c r="X91" s="126"/>
      <c r="Y91" s="167">
        <f>AA87-Y89-Y90</f>
        <v>1360000</v>
      </c>
      <c r="Z91" s="166">
        <v>6.5</v>
      </c>
      <c r="AA91" s="168">
        <f>Y91/AA87*Z91</f>
        <v>5.666666666666667</v>
      </c>
    </row>
    <row r="92" spans="5:27" x14ac:dyDescent="0.2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U92" s="169">
        <f>SUM(U89:U91)</f>
        <v>466000</v>
      </c>
      <c r="W92" s="170">
        <f>SUM(W89:W91)</f>
        <v>83.278862660944199</v>
      </c>
      <c r="X92" s="126"/>
      <c r="Y92" s="171">
        <f>SUM(Y89:Y91)</f>
        <v>1560000</v>
      </c>
      <c r="AA92" s="172">
        <f>SUM(AA89:AA91)</f>
        <v>6.2205128205128206</v>
      </c>
    </row>
    <row r="93" spans="5:27" ht="13.5" thickBot="1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U93" s="173"/>
      <c r="V93" s="174"/>
      <c r="W93" s="174"/>
      <c r="X93" s="174"/>
      <c r="Y93" s="174"/>
      <c r="Z93" s="174"/>
      <c r="AA93" s="175"/>
    </row>
    <row r="94" spans="5:27" x14ac:dyDescent="0.2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5:27" x14ac:dyDescent="0.2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5:27" x14ac:dyDescent="0.2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5:19" x14ac:dyDescent="0.2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5:19" x14ac:dyDescent="0.2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5:19" x14ac:dyDescent="0.2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5:19" x14ac:dyDescent="0.2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5:19" x14ac:dyDescent="0.2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5:19" x14ac:dyDescent="0.2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5:19" x14ac:dyDescent="0.2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5:19" x14ac:dyDescent="0.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5:19" x14ac:dyDescent="0.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5:19" x14ac:dyDescent="0.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5:19" x14ac:dyDescent="0.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5:19" x14ac:dyDescent="0.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5:19" x14ac:dyDescent="0.2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5:19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5:19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5:19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5:19" x14ac:dyDescent="0.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5:19" x14ac:dyDescent="0.2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5:19" x14ac:dyDescent="0.2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5:19" x14ac:dyDescent="0.2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5:19" x14ac:dyDescent="0.2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5:19" x14ac:dyDescent="0.2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5:19" x14ac:dyDescent="0.2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5:19" x14ac:dyDescent="0.2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5:19" x14ac:dyDescent="0.2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5:19" x14ac:dyDescent="0.2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5:19" x14ac:dyDescent="0.2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5:19" x14ac:dyDescent="0.2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5:19" x14ac:dyDescent="0.2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5:19" x14ac:dyDescent="0.2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5:19" x14ac:dyDescent="0.2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5:19" x14ac:dyDescent="0.2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5:19" x14ac:dyDescent="0.2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5:19" x14ac:dyDescent="0.2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5:19" x14ac:dyDescent="0.2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5:19" x14ac:dyDescent="0.2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5:19" x14ac:dyDescent="0.2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5:19" x14ac:dyDescent="0.2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5:19" x14ac:dyDescent="0.2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5:19" x14ac:dyDescent="0.2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5:19" x14ac:dyDescent="0.2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5:19" x14ac:dyDescent="0.2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5:19" x14ac:dyDescent="0.2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5:19" x14ac:dyDescent="0.2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5:19" x14ac:dyDescent="0.2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5:19" x14ac:dyDescent="0.2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5:19" x14ac:dyDescent="0.2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5:19" x14ac:dyDescent="0.2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5:19" x14ac:dyDescent="0.2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5:19" x14ac:dyDescent="0.2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5:19" x14ac:dyDescent="0.2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5:19" x14ac:dyDescent="0.2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5:19" x14ac:dyDescent="0.2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5:19" x14ac:dyDescent="0.2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5:19" x14ac:dyDescent="0.2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5:19" x14ac:dyDescent="0.2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5:19" x14ac:dyDescent="0.2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5:19" x14ac:dyDescent="0.2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5:19" x14ac:dyDescent="0.2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5:19" x14ac:dyDescent="0.2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5:19" x14ac:dyDescent="0.2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5:19" x14ac:dyDescent="0.2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5:19" x14ac:dyDescent="0.2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5:19" x14ac:dyDescent="0.2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5:19" x14ac:dyDescent="0.2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5:19" x14ac:dyDescent="0.2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5:19" x14ac:dyDescent="0.2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5:19" x14ac:dyDescent="0.2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5:19" x14ac:dyDescent="0.2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5:19" x14ac:dyDescent="0.2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5:19" x14ac:dyDescent="0.2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5:19" x14ac:dyDescent="0.2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5:19" x14ac:dyDescent="0.2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5:19" x14ac:dyDescent="0.2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5:19" x14ac:dyDescent="0.2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5:19" x14ac:dyDescent="0.2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5:19" x14ac:dyDescent="0.2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5:19" x14ac:dyDescent="0.2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5:19" x14ac:dyDescent="0.2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5:19" x14ac:dyDescent="0.2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5:19" x14ac:dyDescent="0.2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5:19" x14ac:dyDescent="0.2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5:19" x14ac:dyDescent="0.2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5:19" x14ac:dyDescent="0.2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5:19" x14ac:dyDescent="0.2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5:19" x14ac:dyDescent="0.2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5:19" x14ac:dyDescent="0.2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5:19" x14ac:dyDescent="0.2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5:19" x14ac:dyDescent="0.2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5:19" x14ac:dyDescent="0.2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5:19" x14ac:dyDescent="0.2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5:19" x14ac:dyDescent="0.2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5:19" x14ac:dyDescent="0.2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5:19" x14ac:dyDescent="0.2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5:19" x14ac:dyDescent="0.2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5:19" x14ac:dyDescent="0.2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5:19" x14ac:dyDescent="0.2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5:19" x14ac:dyDescent="0.2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5:19" x14ac:dyDescent="0.2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5:19" x14ac:dyDescent="0.2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5:19" x14ac:dyDescent="0.2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5:19" x14ac:dyDescent="0.2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5:19" x14ac:dyDescent="0.2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5:19" x14ac:dyDescent="0.2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5:19" x14ac:dyDescent="0.2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5:19" x14ac:dyDescent="0.2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5:19" x14ac:dyDescent="0.2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5:19" x14ac:dyDescent="0.2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5:19" x14ac:dyDescent="0.2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5:19" x14ac:dyDescent="0.2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5:19" x14ac:dyDescent="0.2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5:19" x14ac:dyDescent="0.2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5:19" x14ac:dyDescent="0.2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5:19" x14ac:dyDescent="0.2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5:19" x14ac:dyDescent="0.2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5:19" x14ac:dyDescent="0.2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5:19" x14ac:dyDescent="0.2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5:19" x14ac:dyDescent="0.2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5:19" x14ac:dyDescent="0.2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5:19" x14ac:dyDescent="0.2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5:19" x14ac:dyDescent="0.2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5:19" x14ac:dyDescent="0.2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5:19" x14ac:dyDescent="0.2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5:19" x14ac:dyDescent="0.2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5:19" x14ac:dyDescent="0.2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5:19" x14ac:dyDescent="0.2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5:19" x14ac:dyDescent="0.2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5:19" x14ac:dyDescent="0.2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5:19" x14ac:dyDescent="0.2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5:19" x14ac:dyDescent="0.2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5:19" x14ac:dyDescent="0.2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5:19" x14ac:dyDescent="0.2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5:19" x14ac:dyDescent="0.2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5:19" x14ac:dyDescent="0.2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5:19" x14ac:dyDescent="0.2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5:19" x14ac:dyDescent="0.2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5:19" x14ac:dyDescent="0.2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5:19" x14ac:dyDescent="0.2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5:19" x14ac:dyDescent="0.2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5:19" x14ac:dyDescent="0.2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5:19" x14ac:dyDescent="0.2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5:19" x14ac:dyDescent="0.2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5:19" x14ac:dyDescent="0.2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5:19" x14ac:dyDescent="0.2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5:19" x14ac:dyDescent="0.2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5:19" x14ac:dyDescent="0.2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5:19" x14ac:dyDescent="0.2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5:19" x14ac:dyDescent="0.2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5:19" x14ac:dyDescent="0.2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5:19" x14ac:dyDescent="0.2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5:19" x14ac:dyDescent="0.2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5:19" x14ac:dyDescent="0.2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5:19" x14ac:dyDescent="0.2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5:19" x14ac:dyDescent="0.2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5:19" x14ac:dyDescent="0.2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5:19" x14ac:dyDescent="0.2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5:19" x14ac:dyDescent="0.2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5:19" x14ac:dyDescent="0.2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5:19" x14ac:dyDescent="0.2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5:19" x14ac:dyDescent="0.2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5:19" x14ac:dyDescent="0.2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5:19" x14ac:dyDescent="0.2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5:19" x14ac:dyDescent="0.2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5:19" x14ac:dyDescent="0.2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5:19" x14ac:dyDescent="0.2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5:19" x14ac:dyDescent="0.2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5:19" x14ac:dyDescent="0.2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5:19" x14ac:dyDescent="0.2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5:19" x14ac:dyDescent="0.2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5:19" x14ac:dyDescent="0.2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5:19" x14ac:dyDescent="0.2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5:19" x14ac:dyDescent="0.2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5:19" x14ac:dyDescent="0.2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5:19" x14ac:dyDescent="0.2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5:19" x14ac:dyDescent="0.2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5:19" x14ac:dyDescent="0.2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5:19" x14ac:dyDescent="0.2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5:19" x14ac:dyDescent="0.2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5:19" x14ac:dyDescent="0.2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5:19" x14ac:dyDescent="0.2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5:19" x14ac:dyDescent="0.2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5:19" x14ac:dyDescent="0.2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5:19" x14ac:dyDescent="0.2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5:19" x14ac:dyDescent="0.2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5:19" x14ac:dyDescent="0.2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5:19" x14ac:dyDescent="0.2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5:19" x14ac:dyDescent="0.2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5:19" x14ac:dyDescent="0.2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5:19" x14ac:dyDescent="0.2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5:19" x14ac:dyDescent="0.2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5:19" x14ac:dyDescent="0.2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5:19" x14ac:dyDescent="0.2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5:19" x14ac:dyDescent="0.2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5:19" x14ac:dyDescent="0.2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5:19" x14ac:dyDescent="0.2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5:19" x14ac:dyDescent="0.2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5:19" x14ac:dyDescent="0.2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5:19" x14ac:dyDescent="0.2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5:19" x14ac:dyDescent="0.2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5:19" x14ac:dyDescent="0.2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5:19" x14ac:dyDescent="0.2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5:19" x14ac:dyDescent="0.2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5:19" x14ac:dyDescent="0.2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5:19" x14ac:dyDescent="0.2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5:19" x14ac:dyDescent="0.2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5:19" x14ac:dyDescent="0.2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5:19" x14ac:dyDescent="0.2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5:19" x14ac:dyDescent="0.2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5:19" x14ac:dyDescent="0.2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5:19" x14ac:dyDescent="0.2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5:19" x14ac:dyDescent="0.2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5:19" x14ac:dyDescent="0.2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5:19" x14ac:dyDescent="0.2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5:19" x14ac:dyDescent="0.2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5:19" x14ac:dyDescent="0.2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5:19" x14ac:dyDescent="0.2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5:19" x14ac:dyDescent="0.2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5:19" x14ac:dyDescent="0.2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5:19" x14ac:dyDescent="0.2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5:19" x14ac:dyDescent="0.2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5:19" x14ac:dyDescent="0.2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5:19" x14ac:dyDescent="0.2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5:19" x14ac:dyDescent="0.2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5:19" x14ac:dyDescent="0.2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5:19" x14ac:dyDescent="0.2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5:19" x14ac:dyDescent="0.2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5:19" x14ac:dyDescent="0.2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5:19" x14ac:dyDescent="0.2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5:19" x14ac:dyDescent="0.2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5:19" x14ac:dyDescent="0.2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5:19" x14ac:dyDescent="0.2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5:19" x14ac:dyDescent="0.2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5:19" x14ac:dyDescent="0.2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5:19" x14ac:dyDescent="0.2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5:19" x14ac:dyDescent="0.2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5:19" x14ac:dyDescent="0.2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5:19" x14ac:dyDescent="0.2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5:19" x14ac:dyDescent="0.2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5:19" x14ac:dyDescent="0.2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5:19" x14ac:dyDescent="0.2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5:19" x14ac:dyDescent="0.2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5:19" x14ac:dyDescent="0.2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5:19" x14ac:dyDescent="0.2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5:19" x14ac:dyDescent="0.2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5:19" x14ac:dyDescent="0.2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5:19" x14ac:dyDescent="0.2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5:19" x14ac:dyDescent="0.2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5:19" x14ac:dyDescent="0.2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5:19" x14ac:dyDescent="0.2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5:19" x14ac:dyDescent="0.2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5:19" x14ac:dyDescent="0.2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5:19" x14ac:dyDescent="0.2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5:19" x14ac:dyDescent="0.2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5:19" x14ac:dyDescent="0.2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5:19" x14ac:dyDescent="0.2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5:19" x14ac:dyDescent="0.2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5:19" x14ac:dyDescent="0.2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5:19" x14ac:dyDescent="0.2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5:19" x14ac:dyDescent="0.2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5:19" x14ac:dyDescent="0.2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5:19" x14ac:dyDescent="0.2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5:19" x14ac:dyDescent="0.2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5:19" x14ac:dyDescent="0.2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5:19" x14ac:dyDescent="0.2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5:19" x14ac:dyDescent="0.2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5:19" x14ac:dyDescent="0.2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5:19" x14ac:dyDescent="0.2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5:19" x14ac:dyDescent="0.2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5:19" x14ac:dyDescent="0.2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5:19" x14ac:dyDescent="0.2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5:19" x14ac:dyDescent="0.2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5:19" x14ac:dyDescent="0.2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5:19" x14ac:dyDescent="0.2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5:19" x14ac:dyDescent="0.2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5:19" x14ac:dyDescent="0.2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5:19" x14ac:dyDescent="0.2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5:19" x14ac:dyDescent="0.2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5:19" x14ac:dyDescent="0.2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5:19" x14ac:dyDescent="0.2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5:19" x14ac:dyDescent="0.2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5:19" x14ac:dyDescent="0.2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5:19" x14ac:dyDescent="0.2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5:19" x14ac:dyDescent="0.2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5:19" x14ac:dyDescent="0.2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5:19" x14ac:dyDescent="0.2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5:19" x14ac:dyDescent="0.2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5:19" x14ac:dyDescent="0.2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5:19" x14ac:dyDescent="0.2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5:19" x14ac:dyDescent="0.2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5:19" x14ac:dyDescent="0.2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5:19" x14ac:dyDescent="0.2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5:19" x14ac:dyDescent="0.2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5:19" x14ac:dyDescent="0.2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5:19" x14ac:dyDescent="0.2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5:19" x14ac:dyDescent="0.2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5:19" x14ac:dyDescent="0.2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5:19" x14ac:dyDescent="0.2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5:19" x14ac:dyDescent="0.2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5:19" x14ac:dyDescent="0.2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5:19" x14ac:dyDescent="0.2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5:19" x14ac:dyDescent="0.2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5:19" x14ac:dyDescent="0.2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5:19" x14ac:dyDescent="0.2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5:19" x14ac:dyDescent="0.2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5:19" x14ac:dyDescent="0.2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5:19" x14ac:dyDescent="0.2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5:19" x14ac:dyDescent="0.2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5:19" x14ac:dyDescent="0.2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5:19" x14ac:dyDescent="0.2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5:19" x14ac:dyDescent="0.2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5:19" x14ac:dyDescent="0.2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5:19" x14ac:dyDescent="0.2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5:19" x14ac:dyDescent="0.2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5:19" x14ac:dyDescent="0.2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5:19" x14ac:dyDescent="0.2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5:19" x14ac:dyDescent="0.2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5:19" x14ac:dyDescent="0.2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5:19" x14ac:dyDescent="0.2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5:19" x14ac:dyDescent="0.2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5:19" x14ac:dyDescent="0.2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5:19" x14ac:dyDescent="0.2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5:19" x14ac:dyDescent="0.2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5:19" x14ac:dyDescent="0.2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5:19" x14ac:dyDescent="0.2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5:19" x14ac:dyDescent="0.2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5:19" x14ac:dyDescent="0.2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5:19" x14ac:dyDescent="0.2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5:19" x14ac:dyDescent="0.2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5:19" x14ac:dyDescent="0.2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5:19" x14ac:dyDescent="0.2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5:19" x14ac:dyDescent="0.2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5:19" x14ac:dyDescent="0.2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5:19" x14ac:dyDescent="0.2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5:19" x14ac:dyDescent="0.2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5:19" x14ac:dyDescent="0.2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5:19" x14ac:dyDescent="0.2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5:19" x14ac:dyDescent="0.2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5:19" x14ac:dyDescent="0.2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5:19" x14ac:dyDescent="0.2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5:19" x14ac:dyDescent="0.2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5:19" x14ac:dyDescent="0.2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5:19" x14ac:dyDescent="0.2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5:19" x14ac:dyDescent="0.2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5:19" x14ac:dyDescent="0.2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5:19" x14ac:dyDescent="0.2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</sheetData>
  <mergeCells count="1">
    <mergeCell ref="U34:X34"/>
  </mergeCells>
  <phoneticPr fontId="0" type="noConversion"/>
  <pageMargins left="0.75" right="0.75" top="0.61" bottom="1" header="0.5" footer="0.5"/>
  <pageSetup scale="52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TBHM528</dc:creator>
  <cp:lastModifiedBy>Dan</cp:lastModifiedBy>
  <cp:lastPrinted>2012-08-03T17:52:19Z</cp:lastPrinted>
  <dcterms:created xsi:type="dcterms:W3CDTF">2000-09-21T14:52:48Z</dcterms:created>
  <dcterms:modified xsi:type="dcterms:W3CDTF">2022-12-18T17:52:45Z</dcterms:modified>
</cp:coreProperties>
</file>